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kristina_ward_soe_edu_au/Documents/Documents/"/>
    </mc:Choice>
  </mc:AlternateContent>
  <xr:revisionPtr revIDLastSave="3" documentId="8_{8F762E37-5A07-479D-A9E5-7873012C4549}" xr6:coauthVersionLast="47" xr6:coauthVersionMax="47" xr10:uidLastSave="{9DF973BB-224E-434D-91BD-11C0BC8A43B0}"/>
  <bookViews>
    <workbookView xWindow="-120" yWindow="-120" windowWidth="29040" windowHeight="15840" firstSheet="3" xr2:uid="{00000000-000D-0000-FFFF-FFFF00000000}"/>
  </bookViews>
  <sheets>
    <sheet name="Task 1" sheetId="2" r:id="rId1"/>
    <sheet name="Task 2" sheetId="3" r:id="rId2"/>
    <sheet name="Task 3" sheetId="4" r:id="rId3"/>
    <sheet name="Task 4" sheetId="5" r:id="rId4"/>
  </sheets>
  <definedNames>
    <definedName name="OLE_LINK2" localSheetId="2">'Task 3'!$B$34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5" l="1"/>
  <c r="B57" i="5"/>
  <c r="B54" i="5"/>
  <c r="B55" i="5" s="1"/>
  <c r="B50" i="5"/>
  <c r="B51" i="5" s="1"/>
  <c r="B43" i="5"/>
  <c r="B44" i="5" s="1"/>
  <c r="B39" i="5"/>
  <c r="B40" i="5" s="1"/>
  <c r="B33" i="5"/>
  <c r="B32" i="5"/>
  <c r="B28" i="5"/>
  <c r="B27" i="5"/>
  <c r="B29" i="5" s="1"/>
  <c r="B22" i="5"/>
  <c r="B21" i="5"/>
  <c r="B17" i="5"/>
  <c r="B16" i="5"/>
  <c r="B18" i="5" s="1"/>
  <c r="B10" i="5"/>
  <c r="B9" i="5"/>
  <c r="B6" i="5"/>
  <c r="B5" i="5"/>
  <c r="B7" i="5" s="1"/>
  <c r="F19" i="4"/>
  <c r="E17" i="4"/>
  <c r="F17" i="4" s="1"/>
  <c r="C14" i="4"/>
  <c r="F14" i="4" s="1"/>
  <c r="C11" i="4"/>
  <c r="E11" i="4"/>
  <c r="D10" i="3"/>
  <c r="D9" i="3"/>
  <c r="C11" i="3"/>
  <c r="B11" i="3"/>
  <c r="C7" i="3"/>
  <c r="C8" i="3" s="1"/>
  <c r="C12" i="3" s="1"/>
  <c r="B7" i="3"/>
  <c r="B8" i="3" s="1"/>
  <c r="B12" i="3" s="1"/>
  <c r="D6" i="3"/>
  <c r="C41" i="2"/>
  <c r="D40" i="2"/>
  <c r="D39" i="2"/>
  <c r="D38" i="2"/>
  <c r="B41" i="2"/>
  <c r="B42" i="2" s="1"/>
  <c r="D30" i="2"/>
  <c r="C32" i="2"/>
  <c r="C34" i="2" s="1"/>
  <c r="B32" i="2"/>
  <c r="D23" i="2"/>
  <c r="D21" i="2"/>
  <c r="D18" i="2"/>
  <c r="C20" i="2"/>
  <c r="C22" i="2" s="1"/>
  <c r="C24" i="2" s="1"/>
  <c r="C26" i="2" s="1"/>
  <c r="B20" i="2"/>
  <c r="D13" i="2"/>
  <c r="D12" i="2"/>
  <c r="D11" i="2"/>
  <c r="C14" i="2"/>
  <c r="B14" i="2"/>
  <c r="D14" i="2" s="1"/>
  <c r="C7" i="2"/>
  <c r="B7" i="2"/>
  <c r="D20" i="2" l="1"/>
  <c r="B22" i="2"/>
  <c r="D32" i="2"/>
  <c r="B34" i="2"/>
  <c r="D34" i="2" s="1"/>
  <c r="D41" i="2"/>
  <c r="C42" i="2"/>
  <c r="D42" i="2" s="1"/>
  <c r="D11" i="3"/>
  <c r="B11" i="5"/>
  <c r="F11" i="4"/>
  <c r="E18" i="4"/>
  <c r="C18" i="4"/>
  <c r="D7" i="3"/>
  <c r="D8" i="3"/>
  <c r="D12" i="3" s="1"/>
  <c r="D22" i="2" l="1"/>
  <c r="B24" i="2"/>
  <c r="C20" i="4"/>
  <c r="E19" i="4" s="1"/>
  <c r="E20" i="4" s="1"/>
  <c r="F20" i="4" s="1"/>
  <c r="F18" i="4"/>
  <c r="D24" i="2" l="1"/>
  <c r="B26" i="2"/>
  <c r="D26" i="2" s="1"/>
</calcChain>
</file>

<file path=xl/sharedStrings.xml><?xml version="1.0" encoding="utf-8"?>
<sst xmlns="http://schemas.openxmlformats.org/spreadsheetml/2006/main" count="178" uniqueCount="142">
  <si>
    <t>Budgets for Elite Manufacturing</t>
  </si>
  <si>
    <t>Sales Budget</t>
  </si>
  <si>
    <t>Product</t>
  </si>
  <si>
    <t>A</t>
  </si>
  <si>
    <t>B</t>
  </si>
  <si>
    <t>Budgeted sales units</t>
  </si>
  <si>
    <t>Budgeted price per unit</t>
  </si>
  <si>
    <t>Budgeted Sales</t>
  </si>
  <si>
    <t>Production Budget</t>
  </si>
  <si>
    <t>Total</t>
  </si>
  <si>
    <t>Forecasted sales units</t>
  </si>
  <si>
    <t>Ending inventory</t>
  </si>
  <si>
    <t>Beginning finished goods</t>
  </si>
  <si>
    <t>Production required</t>
  </si>
  <si>
    <t>Direct Materials Budget</t>
  </si>
  <si>
    <t>Production units required</t>
  </si>
  <si>
    <t>Materials per unit (kg)</t>
  </si>
  <si>
    <t>Kg of materials required</t>
  </si>
  <si>
    <t>Desired ending materials (kg)</t>
  </si>
  <si>
    <t>Kilograms needed</t>
  </si>
  <si>
    <t>Beginning materials (kg)</t>
  </si>
  <si>
    <t>Purchased required (kg)</t>
  </si>
  <si>
    <t>Cost per kg</t>
  </si>
  <si>
    <t>Cost of purchases</t>
  </si>
  <si>
    <t>Direct Labour Budget</t>
  </si>
  <si>
    <t>Direct labour hours per unit</t>
  </si>
  <si>
    <t>Total hours required</t>
  </si>
  <si>
    <t>Labour rate per hour</t>
  </si>
  <si>
    <t>Total labour cost</t>
  </si>
  <si>
    <t>Factory Overhead Budget</t>
  </si>
  <si>
    <t>Total cost of production (1)</t>
  </si>
  <si>
    <t>Raw materials cost (2)</t>
  </si>
  <si>
    <t>Direct labour costs</t>
  </si>
  <si>
    <t>total prime costs</t>
  </si>
  <si>
    <t>Factory overhead = total cost of production - total prime cost</t>
  </si>
  <si>
    <t xml:space="preserve">Budgeted Statement of Financial Performance </t>
  </si>
  <si>
    <t>for Elite Manufacturing</t>
  </si>
  <si>
    <t>for the year ended 30 June 2023</t>
  </si>
  <si>
    <t>Sales revenue</t>
  </si>
  <si>
    <t>Cost of goods sold</t>
  </si>
  <si>
    <t>Gross Profit</t>
  </si>
  <si>
    <t>Selling and distribution expenses</t>
  </si>
  <si>
    <t>administration expenses</t>
  </si>
  <si>
    <t>Total budget expenses</t>
  </si>
  <si>
    <t>Net Profit</t>
  </si>
  <si>
    <t>Budgeted Statement of Cash Flows</t>
  </si>
  <si>
    <t>for Q3 and Q4 2023</t>
  </si>
  <si>
    <t>March</t>
  </si>
  <si>
    <t>June</t>
  </si>
  <si>
    <t>Cashflow from operating activities:</t>
  </si>
  <si>
    <t>Receipts from customers [1]</t>
  </si>
  <si>
    <t>Payments to suppliers and employees</t>
  </si>
  <si>
    <t>[2]</t>
  </si>
  <si>
    <t>Interest paid</t>
  </si>
  <si>
    <t>Net cash from operating activities:</t>
  </si>
  <si>
    <t>Cashflow from investing activities:</t>
  </si>
  <si>
    <t>Purchase of equipment</t>
  </si>
  <si>
    <t>Net cash from investing activities</t>
  </si>
  <si>
    <t>Cashflow from financing activities:</t>
  </si>
  <si>
    <t>Repayment of borrowings</t>
  </si>
  <si>
    <t>Net cash from financing activities</t>
  </si>
  <si>
    <t>Net increase/[decrease] in cash held</t>
  </si>
  <si>
    <t>Cash at the beginning of the quarter</t>
  </si>
  <si>
    <t>Cash at the end of the quarter</t>
  </si>
  <si>
    <t>WORKINGS:</t>
  </si>
  <si>
    <t>Receipts from Customers</t>
  </si>
  <si>
    <t>0.30*192,000</t>
  </si>
  <si>
    <t>0.30*120,000</t>
  </si>
  <si>
    <t>0.70*120,000</t>
  </si>
  <si>
    <t>0.7*144,000</t>
  </si>
  <si>
    <t>Adv. promo. admin</t>
  </si>
  <si>
    <t>0.15*456,000</t>
  </si>
  <si>
    <t>0.15*312,000</t>
  </si>
  <si>
    <t>96,000-28,800</t>
  </si>
  <si>
    <t>0.3*120,000</t>
  </si>
  <si>
    <t>0.7* 120,000</t>
  </si>
  <si>
    <t>96,00-28,800</t>
  </si>
  <si>
    <t>Budgeted Statement</t>
  </si>
  <si>
    <t>a) Sales Variance</t>
  </si>
  <si>
    <t>Sales price variance = (Actual selling price - Budgeted selling price) x Actual units sold</t>
  </si>
  <si>
    <t>Workings for Assessor</t>
  </si>
  <si>
    <t>Product A</t>
  </si>
  <si>
    <t>($6.20 - $6.00 x 8,000]</t>
  </si>
  <si>
    <t>Product B</t>
  </si>
  <si>
    <t>($7.70 - $8.00 x 33,000]</t>
  </si>
  <si>
    <t>Sales price variance</t>
  </si>
  <si>
    <t>Sales volume variance = (Actual quantity - Budgeted quantity) x Budgeted selling price</t>
  </si>
  <si>
    <t>8,000 vs. 10,000 x $6.00</t>
  </si>
  <si>
    <t>33,000 VS. 30,000 x $8.00</t>
  </si>
  <si>
    <t>Sales volume variance</t>
  </si>
  <si>
    <t>Total sales variance $3,700 [favourable], which is a combination of sales price variance $8,300 [unfavourable] and sales volume variance $12,000.</t>
  </si>
  <si>
    <t>b) Materials Variance</t>
  </si>
  <si>
    <t>Total Matieras  Variance</t>
  </si>
  <si>
    <t>Standard quantity x Standard price</t>
  </si>
  <si>
    <t>(24,000 x $5)</t>
  </si>
  <si>
    <t>Actual quantity x actual price</t>
  </si>
  <si>
    <t>(16,000 x $7)</t>
  </si>
  <si>
    <t>Material price variance</t>
  </si>
  <si>
    <t>$7 - $5</t>
  </si>
  <si>
    <t>(Standard price - Actual price) x actual quantity</t>
  </si>
  <si>
    <t>($5 - $7) X 16,000</t>
  </si>
  <si>
    <t>(Standard quantity - Actual quantity) x Standard price</t>
  </si>
  <si>
    <t>(24,000 - 16,000) X $5</t>
  </si>
  <si>
    <t>c)  Labour  Variance</t>
  </si>
  <si>
    <t>Total Labour  Variance</t>
  </si>
  <si>
    <t xml:space="preserve">Standard quantity x Standard price </t>
  </si>
  <si>
    <t>(28,000 x $9)</t>
  </si>
  <si>
    <t>(42,000 x $8)</t>
  </si>
  <si>
    <t>Labour  price variance</t>
  </si>
  <si>
    <t>$9 - $8</t>
  </si>
  <si>
    <t>Labour Quantity Variance</t>
  </si>
  <si>
    <t>($9 - $8) X 42,000</t>
  </si>
  <si>
    <t xml:space="preserve">(Standard quantity - Actual quantity) x Standard price </t>
  </si>
  <si>
    <t>(28,000 - 42,000] x $9</t>
  </si>
  <si>
    <t>d) Variable Overheads  Variance</t>
  </si>
  <si>
    <t>Variable Overheads Price Variance</t>
  </si>
  <si>
    <t>Actual variable overhead</t>
  </si>
  <si>
    <t xml:space="preserve">Budgeted adjusted actual hours </t>
  </si>
  <si>
    <t>(2,500 x $4)</t>
  </si>
  <si>
    <t>Price Variance</t>
  </si>
  <si>
    <t>Variable Overheads Efficiency Variance</t>
  </si>
  <si>
    <t>Budgeted adjusted actual hours</t>
  </si>
  <si>
    <t xml:space="preserve">Budgeted adjusted to standard hours </t>
  </si>
  <si>
    <t>(3,000 x $4)</t>
  </si>
  <si>
    <t>Efficiency variance</t>
  </si>
  <si>
    <t>e) Fixed Overheads  Variance</t>
  </si>
  <si>
    <t>Fixed Ovcerhead Budget Variance</t>
  </si>
  <si>
    <t>Actual fixed overhead</t>
  </si>
  <si>
    <t xml:space="preserve">Budgeted fixed overhead </t>
  </si>
  <si>
    <t>(10,000 x 2)x $20</t>
  </si>
  <si>
    <t>Budget Variance</t>
  </si>
  <si>
    <t>Volume Variance</t>
  </si>
  <si>
    <t>Budgeted fixed overhead</t>
  </si>
  <si>
    <t xml:space="preserve">Standard fixed overhead </t>
  </si>
  <si>
    <t>(9,500 x 2) x $20</t>
  </si>
  <si>
    <t>Volume variance</t>
  </si>
  <si>
    <t>Fixed  Overhead Efficiency Variance</t>
  </si>
  <si>
    <t>(Standard hours vs actual hours)) x standard fixed overhead rate</t>
  </si>
  <si>
    <t>(19,000-20,200) X $20</t>
  </si>
  <si>
    <t>Fixed  Overhead Pure Volume  Variance</t>
  </si>
  <si>
    <t>(Actual hours - Budgeted hours) x standard fixed overhead rate</t>
  </si>
  <si>
    <t>(20,200 - 20,000) X $20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</si>
</sst>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&quot;$&quot;#,##0.;[Red]\(&quot;$&quot;#,##0\)"/>
    <numFmt numFmtId="169" formatCode="#,##0;[Red]\(#,##0\)"/>
  </numFmts>
  <fonts count="15">
    <font>
      <sz val="12"/>
      <color rgb="FF000000"/>
      <name val="Calibri"/>
    </font>
    <font>
      <sz val="12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Microsoft Sans Serif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i/>
      <u/>
      <sz val="12"/>
      <color rgb="FF000000"/>
      <name val="Calibri"/>
      <family val="2"/>
    </font>
    <font>
      <sz val="11"/>
      <name val="Arial"/>
      <family val="2"/>
    </font>
    <font>
      <sz val="11"/>
      <color rgb="FFFD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3" fillId="0" borderId="1" xfId="0" applyFont="1" applyBorder="1"/>
    <xf numFmtId="0" fontId="5" fillId="2" borderId="6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5" fillId="2" borderId="1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5" xfId="0" applyFont="1" applyBorder="1"/>
    <xf numFmtId="164" fontId="6" fillId="0" borderId="11" xfId="2" applyFont="1" applyBorder="1"/>
    <xf numFmtId="164" fontId="6" fillId="0" borderId="15" xfId="2" applyFont="1" applyBorder="1"/>
    <xf numFmtId="0" fontId="3" fillId="2" borderId="12" xfId="0" applyFont="1" applyFill="1" applyBorder="1"/>
    <xf numFmtId="166" fontId="6" fillId="2" borderId="12" xfId="2" applyNumberFormat="1" applyFont="1" applyFill="1" applyBorder="1"/>
    <xf numFmtId="166" fontId="6" fillId="2" borderId="16" xfId="0" applyNumberFormat="1" applyFont="1" applyFill="1" applyBorder="1"/>
    <xf numFmtId="167" fontId="6" fillId="0" borderId="10" xfId="1" applyNumberFormat="1" applyFont="1" applyBorder="1"/>
    <xf numFmtId="167" fontId="6" fillId="0" borderId="14" xfId="1" applyNumberFormat="1" applyFont="1" applyBorder="1"/>
    <xf numFmtId="167" fontId="6" fillId="0" borderId="11" xfId="1" applyNumberFormat="1" applyFont="1" applyBorder="1"/>
    <xf numFmtId="167" fontId="6" fillId="0" borderId="17" xfId="1" applyNumberFormat="1" applyFont="1" applyBorder="1"/>
    <xf numFmtId="167" fontId="6" fillId="0" borderId="11" xfId="0" applyNumberFormat="1" applyFont="1" applyBorder="1"/>
    <xf numFmtId="167" fontId="6" fillId="0" borderId="15" xfId="0" applyNumberFormat="1" applyFont="1" applyBorder="1"/>
    <xf numFmtId="167" fontId="6" fillId="2" borderId="12" xfId="0" applyNumberFormat="1" applyFont="1" applyFill="1" applyBorder="1"/>
    <xf numFmtId="167" fontId="6" fillId="2" borderId="16" xfId="0" applyNumberFormat="1" applyFont="1" applyFill="1" applyBorder="1"/>
    <xf numFmtId="167" fontId="6" fillId="0" borderId="14" xfId="0" applyNumberFormat="1" applyFont="1" applyBorder="1"/>
    <xf numFmtId="167" fontId="6" fillId="0" borderId="15" xfId="1" applyNumberFormat="1" applyFont="1" applyBorder="1"/>
    <xf numFmtId="0" fontId="3" fillId="2" borderId="12" xfId="0" applyFont="1" applyFill="1" applyBorder="1" applyAlignment="1">
      <alignment wrapText="1"/>
    </xf>
    <xf numFmtId="167" fontId="6" fillId="2" borderId="12" xfId="1" applyNumberFormat="1" applyFont="1" applyFill="1" applyBorder="1"/>
    <xf numFmtId="167" fontId="6" fillId="2" borderId="16" xfId="1" applyNumberFormat="1" applyFont="1" applyFill="1" applyBorder="1"/>
    <xf numFmtId="167" fontId="6" fillId="0" borderId="19" xfId="1" applyNumberFormat="1" applyFont="1" applyBorder="1"/>
    <xf numFmtId="167" fontId="6" fillId="0" borderId="18" xfId="0" applyNumberFormat="1" applyFont="1" applyBorder="1"/>
    <xf numFmtId="167" fontId="6" fillId="0" borderId="18" xfId="1" applyNumberFormat="1" applyFont="1" applyBorder="1"/>
    <xf numFmtId="167" fontId="6" fillId="0" borderId="20" xfId="1" applyNumberFormat="1" applyFont="1" applyBorder="1"/>
    <xf numFmtId="166" fontId="6" fillId="2" borderId="16" xfId="2" applyNumberFormat="1" applyFont="1" applyFill="1" applyBorder="1"/>
    <xf numFmtId="1" fontId="6" fillId="0" borderId="22" xfId="1" applyNumberFormat="1" applyFont="1" applyBorder="1" applyAlignment="1">
      <alignment horizontal="right"/>
    </xf>
    <xf numFmtId="0" fontId="7" fillId="0" borderId="1" xfId="0" applyFont="1" applyBorder="1"/>
    <xf numFmtId="0" fontId="6" fillId="0" borderId="0" xfId="0" applyFont="1"/>
    <xf numFmtId="0" fontId="6" fillId="0" borderId="2" xfId="0" applyFont="1" applyBorder="1"/>
    <xf numFmtId="0" fontId="0" fillId="0" borderId="1" xfId="0" applyBorder="1"/>
    <xf numFmtId="1" fontId="6" fillId="0" borderId="0" xfId="1" applyNumberFormat="1" applyFont="1" applyBorder="1" applyAlignment="1">
      <alignment horizontal="right"/>
    </xf>
    <xf numFmtId="1" fontId="6" fillId="0" borderId="2" xfId="1" applyNumberFormat="1" applyFont="1" applyBorder="1" applyAlignment="1">
      <alignment horizontal="right"/>
    </xf>
    <xf numFmtId="1" fontId="6" fillId="0" borderId="23" xfId="1" applyNumberFormat="1" applyFont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1" xfId="0" applyFill="1" applyBorder="1"/>
    <xf numFmtId="1" fontId="6" fillId="2" borderId="0" xfId="1" applyNumberFormat="1" applyFont="1" applyFill="1" applyBorder="1" applyAlignment="1">
      <alignment horizontal="right"/>
    </xf>
    <xf numFmtId="1" fontId="6" fillId="2" borderId="2" xfId="1" applyNumberFormat="1" applyFont="1" applyFill="1" applyBorder="1" applyAlignment="1">
      <alignment horizontal="right"/>
    </xf>
    <xf numFmtId="0" fontId="0" fillId="2" borderId="3" xfId="0" applyFill="1" applyBorder="1"/>
    <xf numFmtId="1" fontId="6" fillId="2" borderId="4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>
      <alignment horizontal="right"/>
    </xf>
    <xf numFmtId="0" fontId="9" fillId="0" borderId="28" xfId="0" applyFont="1" applyBorder="1" applyAlignment="1">
      <alignment vertical="center" wrapText="1"/>
    </xf>
    <xf numFmtId="3" fontId="9" fillId="0" borderId="35" xfId="0" applyNumberFormat="1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3" fontId="9" fillId="0" borderId="30" xfId="0" applyNumberFormat="1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3" fontId="9" fillId="0" borderId="36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3" fontId="9" fillId="0" borderId="37" xfId="0" applyNumberFormat="1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3" fontId="9" fillId="0" borderId="21" xfId="0" applyNumberFormat="1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2" fillId="0" borderId="42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3" fillId="0" borderId="0" xfId="0" applyFont="1"/>
    <xf numFmtId="164" fontId="13" fillId="0" borderId="43" xfId="2" applyFont="1" applyBorder="1" applyAlignment="1">
      <alignment vertical="center" wrapText="1"/>
    </xf>
    <xf numFmtId="168" fontId="13" fillId="0" borderId="43" xfId="2" applyNumberFormat="1" applyFont="1" applyBorder="1" applyAlignment="1">
      <alignment vertical="center" wrapText="1"/>
    </xf>
    <xf numFmtId="167" fontId="13" fillId="0" borderId="43" xfId="1" applyNumberFormat="1" applyFont="1" applyBorder="1" applyAlignment="1">
      <alignment vertical="center" wrapText="1"/>
    </xf>
    <xf numFmtId="0" fontId="14" fillId="0" borderId="0" xfId="0" applyFont="1"/>
    <xf numFmtId="167" fontId="13" fillId="0" borderId="45" xfId="0" applyNumberFormat="1" applyFont="1" applyBorder="1" applyAlignment="1">
      <alignment vertical="center" wrapText="1"/>
    </xf>
    <xf numFmtId="169" fontId="13" fillId="0" borderId="43" xfId="1" applyNumberFormat="1" applyFont="1" applyBorder="1" applyAlignment="1">
      <alignment vertical="center" wrapText="1"/>
    </xf>
    <xf numFmtId="169" fontId="13" fillId="0" borderId="43" xfId="0" applyNumberFormat="1" applyFont="1" applyBorder="1" applyAlignment="1">
      <alignment vertical="center" wrapText="1"/>
    </xf>
    <xf numFmtId="169" fontId="13" fillId="0" borderId="45" xfId="0" applyNumberFormat="1" applyFont="1" applyBorder="1" applyAlignment="1">
      <alignment vertical="center" wrapText="1"/>
    </xf>
    <xf numFmtId="169" fontId="13" fillId="0" borderId="46" xfId="0" applyNumberFormat="1" applyFont="1" applyBorder="1" applyAlignment="1">
      <alignment vertical="center" wrapText="1"/>
    </xf>
    <xf numFmtId="169" fontId="13" fillId="0" borderId="48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left" vertical="center" wrapText="1" indent="5"/>
    </xf>
    <xf numFmtId="0" fontId="12" fillId="3" borderId="41" xfId="0" applyFont="1" applyFill="1" applyBorder="1" applyAlignment="1">
      <alignment horizontal="left" vertical="center" wrapText="1" indent="5"/>
    </xf>
    <xf numFmtId="0" fontId="12" fillId="3" borderId="42" xfId="0" applyFont="1" applyFill="1" applyBorder="1" applyAlignment="1">
      <alignment horizontal="left" vertical="center" wrapText="1" indent="5"/>
    </xf>
    <xf numFmtId="0" fontId="12" fillId="3" borderId="43" xfId="0" applyFont="1" applyFill="1" applyBorder="1" applyAlignment="1">
      <alignment horizontal="left" vertical="center" wrapText="1" indent="5"/>
    </xf>
    <xf numFmtId="0" fontId="12" fillId="3" borderId="47" xfId="0" applyFont="1" applyFill="1" applyBorder="1" applyAlignment="1">
      <alignment horizontal="left" vertical="center" wrapText="1" indent="5"/>
    </xf>
    <xf numFmtId="0" fontId="12" fillId="3" borderId="48" xfId="0" applyFont="1" applyFill="1" applyBorder="1" applyAlignment="1">
      <alignment horizontal="left" vertical="center" wrapText="1" indent="5"/>
    </xf>
    <xf numFmtId="0" fontId="13" fillId="0" borderId="0" xfId="0" applyFont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C01C-B16B-45AE-BDC2-40047550D74F}">
  <dimension ref="A1:D42"/>
  <sheetViews>
    <sheetView tabSelected="1" workbookViewId="0">
      <selection activeCell="A28" sqref="A28:D34"/>
    </sheetView>
  </sheetViews>
  <sheetFormatPr defaultRowHeight="18" customHeight="1"/>
  <cols>
    <col min="1" max="1" width="26.25" customWidth="1"/>
    <col min="2" max="2" width="13.5" customWidth="1"/>
    <col min="3" max="3" width="12" customWidth="1"/>
    <col min="4" max="4" width="11.25" customWidth="1"/>
  </cols>
  <sheetData>
    <row r="1" spans="1:4" ht="18" customHeight="1">
      <c r="A1" s="86" t="s">
        <v>0</v>
      </c>
      <c r="B1" s="86"/>
      <c r="C1" s="86"/>
    </row>
    <row r="3" spans="1:4" ht="18" customHeight="1" thickBot="1">
      <c r="A3" s="2" t="s">
        <v>1</v>
      </c>
    </row>
    <row r="4" spans="1:4" ht="18" customHeight="1" thickBot="1">
      <c r="A4" s="5" t="s">
        <v>2</v>
      </c>
      <c r="B4" s="8" t="s">
        <v>3</v>
      </c>
      <c r="C4" s="9" t="s">
        <v>4</v>
      </c>
    </row>
    <row r="5" spans="1:4" ht="18" customHeight="1">
      <c r="A5" s="6" t="s">
        <v>5</v>
      </c>
      <c r="B5" s="10">
        <v>600000</v>
      </c>
      <c r="C5" s="11">
        <v>175000</v>
      </c>
    </row>
    <row r="6" spans="1:4" ht="18" customHeight="1">
      <c r="A6" s="7" t="s">
        <v>6</v>
      </c>
      <c r="B6" s="14">
        <v>27</v>
      </c>
      <c r="C6" s="15">
        <v>42</v>
      </c>
    </row>
    <row r="7" spans="1:4" ht="18" customHeight="1" thickBot="1">
      <c r="A7" s="16" t="s">
        <v>7</v>
      </c>
      <c r="B7" s="17">
        <f>B5*B6</f>
        <v>16200000</v>
      </c>
      <c r="C7" s="18">
        <f>C6*C5</f>
        <v>7350000</v>
      </c>
    </row>
    <row r="9" spans="1:4" ht="18" customHeight="1" thickBot="1">
      <c r="A9" s="2" t="s">
        <v>8</v>
      </c>
    </row>
    <row r="10" spans="1:4" ht="18" customHeight="1" thickBot="1">
      <c r="A10" s="5" t="s">
        <v>2</v>
      </c>
      <c r="B10" s="8" t="s">
        <v>3</v>
      </c>
      <c r="C10" s="8" t="s">
        <v>4</v>
      </c>
      <c r="D10" s="9" t="s">
        <v>9</v>
      </c>
    </row>
    <row r="11" spans="1:4" ht="18" customHeight="1">
      <c r="A11" s="6" t="s">
        <v>10</v>
      </c>
      <c r="B11" s="22">
        <v>600000</v>
      </c>
      <c r="C11" s="19">
        <v>175000</v>
      </c>
      <c r="D11" s="20">
        <f>SUM(B11:C11)</f>
        <v>775000</v>
      </c>
    </row>
    <row r="12" spans="1:4" ht="18" customHeight="1">
      <c r="A12" s="7" t="s">
        <v>11</v>
      </c>
      <c r="B12" s="21">
        <v>32400</v>
      </c>
      <c r="C12" s="12">
        <v>20400</v>
      </c>
      <c r="D12" s="24">
        <f>SUM(B12:C12)</f>
        <v>52800</v>
      </c>
    </row>
    <row r="13" spans="1:4" ht="18" customHeight="1">
      <c r="A13" s="7" t="s">
        <v>12</v>
      </c>
      <c r="B13" s="12">
        <v>26400</v>
      </c>
      <c r="C13" s="12">
        <v>14400</v>
      </c>
      <c r="D13" s="24">
        <f>SUM(B13:C13)</f>
        <v>40800</v>
      </c>
    </row>
    <row r="14" spans="1:4" ht="18" customHeight="1" thickBot="1">
      <c r="A14" s="16" t="s">
        <v>13</v>
      </c>
      <c r="B14" s="25">
        <f>B11+B12-B13</f>
        <v>606000</v>
      </c>
      <c r="C14" s="25">
        <f>C11+C12-C13</f>
        <v>181000</v>
      </c>
      <c r="D14" s="26">
        <f>SUM(B14:C14)</f>
        <v>787000</v>
      </c>
    </row>
    <row r="16" spans="1:4" ht="18" customHeight="1" thickBot="1">
      <c r="A16" s="2" t="s">
        <v>14</v>
      </c>
    </row>
    <row r="17" spans="1:4" ht="18" customHeight="1" thickBot="1">
      <c r="A17" s="5" t="s">
        <v>2</v>
      </c>
      <c r="B17" s="8" t="s">
        <v>3</v>
      </c>
      <c r="C17" s="8" t="s">
        <v>4</v>
      </c>
      <c r="D17" s="9" t="s">
        <v>9</v>
      </c>
    </row>
    <row r="18" spans="1:4" ht="18" customHeight="1">
      <c r="A18" s="6" t="s">
        <v>15</v>
      </c>
      <c r="B18" s="19">
        <v>606000</v>
      </c>
      <c r="C18" s="19">
        <v>181000</v>
      </c>
      <c r="D18" s="27">
        <f>SUM(B18:C18)</f>
        <v>787000</v>
      </c>
    </row>
    <row r="19" spans="1:4" ht="18" customHeight="1">
      <c r="A19" s="7" t="s">
        <v>16</v>
      </c>
      <c r="B19" s="12">
        <v>1.2</v>
      </c>
      <c r="C19" s="12">
        <v>1.8</v>
      </c>
      <c r="D19" s="13"/>
    </row>
    <row r="20" spans="1:4" ht="18" customHeight="1">
      <c r="A20" s="7" t="s">
        <v>17</v>
      </c>
      <c r="B20" s="21">
        <f>B18*B19</f>
        <v>727200</v>
      </c>
      <c r="C20" s="21">
        <f>C18*C19</f>
        <v>325800</v>
      </c>
      <c r="D20" s="28">
        <f>SUM(B20:C20)</f>
        <v>1053000</v>
      </c>
    </row>
    <row r="21" spans="1:4" ht="18" customHeight="1">
      <c r="A21" s="7" t="s">
        <v>18</v>
      </c>
      <c r="B21" s="21">
        <v>42000</v>
      </c>
      <c r="C21" s="21">
        <v>18000</v>
      </c>
      <c r="D21" s="28">
        <f>SUM(B21:C21)</f>
        <v>60000</v>
      </c>
    </row>
    <row r="22" spans="1:4" ht="18" customHeight="1">
      <c r="A22" s="7" t="s">
        <v>19</v>
      </c>
      <c r="B22" s="21">
        <f>B20+B21</f>
        <v>769200</v>
      </c>
      <c r="C22" s="21">
        <f>C20+C21</f>
        <v>343800</v>
      </c>
      <c r="D22" s="28">
        <f>SUM(B22:C22)</f>
        <v>1113000</v>
      </c>
    </row>
    <row r="23" spans="1:4" ht="18" customHeight="1">
      <c r="A23" s="7" t="s">
        <v>20</v>
      </c>
      <c r="B23" s="21">
        <v>54000</v>
      </c>
      <c r="C23" s="21">
        <v>14400</v>
      </c>
      <c r="D23" s="28">
        <f>SUM(B23:C23)</f>
        <v>68400</v>
      </c>
    </row>
    <row r="24" spans="1:4" ht="18" customHeight="1">
      <c r="A24" s="7" t="s">
        <v>21</v>
      </c>
      <c r="B24" s="21">
        <f>B22-B23</f>
        <v>715200</v>
      </c>
      <c r="C24" s="21">
        <f>C22-C23</f>
        <v>329400</v>
      </c>
      <c r="D24" s="28">
        <f>SUM(B24:C24)</f>
        <v>1044600</v>
      </c>
    </row>
    <row r="25" spans="1:4" ht="18" customHeight="1">
      <c r="A25" s="7" t="s">
        <v>22</v>
      </c>
      <c r="B25" s="14">
        <v>4.2</v>
      </c>
      <c r="C25" s="14">
        <v>5.4</v>
      </c>
      <c r="D25" s="15"/>
    </row>
    <row r="26" spans="1:4" ht="18" customHeight="1" thickBot="1">
      <c r="A26" s="16" t="s">
        <v>23</v>
      </c>
      <c r="B26" s="17">
        <f>B24*B25</f>
        <v>3003840</v>
      </c>
      <c r="C26" s="17">
        <f>C24*C25</f>
        <v>1778760.0000000002</v>
      </c>
      <c r="D26" s="18">
        <f>SUM(B26:C26)</f>
        <v>4782600</v>
      </c>
    </row>
    <row r="28" spans="1:4" ht="18" customHeight="1" thickBot="1">
      <c r="A28" s="2" t="s">
        <v>24</v>
      </c>
    </row>
    <row r="29" spans="1:4" ht="18" customHeight="1" thickBot="1">
      <c r="A29" s="5" t="s">
        <v>2</v>
      </c>
      <c r="B29" s="8" t="s">
        <v>3</v>
      </c>
      <c r="C29" s="8" t="s">
        <v>4</v>
      </c>
      <c r="D29" s="9" t="s">
        <v>9</v>
      </c>
    </row>
    <row r="30" spans="1:4" ht="18" customHeight="1">
      <c r="A30" s="6" t="s">
        <v>15</v>
      </c>
      <c r="B30" s="19">
        <v>606000</v>
      </c>
      <c r="C30" s="19">
        <v>181000</v>
      </c>
      <c r="D30" s="27">
        <f>SUM(B30:C30)</f>
        <v>787000</v>
      </c>
    </row>
    <row r="31" spans="1:4" ht="18" customHeight="1">
      <c r="A31" s="7" t="s">
        <v>25</v>
      </c>
      <c r="B31" s="12">
        <v>0.6</v>
      </c>
      <c r="C31" s="12">
        <v>0.9</v>
      </c>
      <c r="D31" s="13"/>
    </row>
    <row r="32" spans="1:4" ht="18" customHeight="1">
      <c r="A32" s="7" t="s">
        <v>26</v>
      </c>
      <c r="B32" s="23">
        <f>B30*B31</f>
        <v>363600</v>
      </c>
      <c r="C32" s="23">
        <f>C30*C31</f>
        <v>162900</v>
      </c>
      <c r="D32" s="24">
        <f>SUM(B32:C32)</f>
        <v>526500</v>
      </c>
    </row>
    <row r="33" spans="1:4" ht="18" customHeight="1">
      <c r="A33" s="7" t="s">
        <v>27</v>
      </c>
      <c r="B33" s="14">
        <v>12</v>
      </c>
      <c r="C33" s="14">
        <v>13.2</v>
      </c>
      <c r="D33" s="13"/>
    </row>
    <row r="34" spans="1:4" ht="18" customHeight="1" thickBot="1">
      <c r="A34" s="16" t="s">
        <v>28</v>
      </c>
      <c r="B34" s="17">
        <f>B32*B33</f>
        <v>4363200</v>
      </c>
      <c r="C34" s="17">
        <f>C32*C33</f>
        <v>2150280</v>
      </c>
      <c r="D34" s="18">
        <f>SUM(B34:C34)</f>
        <v>6513480</v>
      </c>
    </row>
    <row r="36" spans="1:4" ht="18" customHeight="1" thickBot="1">
      <c r="A36" s="2" t="s">
        <v>29</v>
      </c>
    </row>
    <row r="37" spans="1:4" ht="18" customHeight="1" thickBot="1">
      <c r="A37" s="5" t="s">
        <v>2</v>
      </c>
      <c r="B37" s="8" t="s">
        <v>3</v>
      </c>
      <c r="C37" s="8" t="s">
        <v>4</v>
      </c>
      <c r="D37" s="9" t="s">
        <v>9</v>
      </c>
    </row>
    <row r="38" spans="1:4" ht="18" customHeight="1">
      <c r="A38" s="7" t="s">
        <v>30</v>
      </c>
      <c r="B38" s="19">
        <v>9090000</v>
      </c>
      <c r="C38" s="19">
        <v>4669800</v>
      </c>
      <c r="D38" s="20">
        <f>C38+B38</f>
        <v>13759800</v>
      </c>
    </row>
    <row r="39" spans="1:4" ht="18" customHeight="1">
      <c r="A39" s="1" t="s">
        <v>31</v>
      </c>
      <c r="B39" s="21">
        <v>3063840</v>
      </c>
      <c r="C39" s="21">
        <v>1778760</v>
      </c>
      <c r="D39" s="28">
        <f>B39+C39</f>
        <v>4842600</v>
      </c>
    </row>
    <row r="40" spans="1:4" ht="18" customHeight="1">
      <c r="A40" s="7" t="s">
        <v>32</v>
      </c>
      <c r="B40" s="21">
        <v>4363200</v>
      </c>
      <c r="C40" s="21">
        <v>2150280</v>
      </c>
      <c r="D40" s="28">
        <f>B40+C40</f>
        <v>6513480</v>
      </c>
    </row>
    <row r="41" spans="1:4" ht="18" customHeight="1">
      <c r="A41" s="7" t="s">
        <v>33</v>
      </c>
      <c r="B41" s="21">
        <f>B40+B39</f>
        <v>7427040</v>
      </c>
      <c r="C41" s="21">
        <f>C40+C39</f>
        <v>3929040</v>
      </c>
      <c r="D41" s="28">
        <f>B41+C41</f>
        <v>11356080</v>
      </c>
    </row>
    <row r="42" spans="1:4" ht="48" thickBot="1">
      <c r="A42" s="29" t="s">
        <v>34</v>
      </c>
      <c r="B42" s="30">
        <f>B38-B41</f>
        <v>1662960</v>
      </c>
      <c r="C42" s="30">
        <f>C38-C41</f>
        <v>740760</v>
      </c>
      <c r="D42" s="31">
        <f>B42+C42</f>
        <v>2403720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35D81-B953-4694-932A-4290E08BDDE5}">
  <dimension ref="A1:D12"/>
  <sheetViews>
    <sheetView workbookViewId="0">
      <selection sqref="A1:D3"/>
    </sheetView>
  </sheetViews>
  <sheetFormatPr defaultRowHeight="15.75"/>
  <cols>
    <col min="1" max="1" width="29" customWidth="1"/>
    <col min="2" max="2" width="13.75" bestFit="1" customWidth="1"/>
    <col min="3" max="4" width="18.375" bestFit="1" customWidth="1"/>
  </cols>
  <sheetData>
    <row r="1" spans="1:4">
      <c r="A1" s="87" t="s">
        <v>35</v>
      </c>
      <c r="B1" s="87"/>
      <c r="C1" s="87"/>
      <c r="D1" s="87"/>
    </row>
    <row r="2" spans="1:4">
      <c r="A2" s="87" t="s">
        <v>36</v>
      </c>
      <c r="B2" s="87"/>
      <c r="C2" s="87"/>
      <c r="D2" s="87"/>
    </row>
    <row r="3" spans="1:4">
      <c r="A3" s="87" t="s">
        <v>37</v>
      </c>
      <c r="B3" s="87"/>
      <c r="C3" s="87"/>
      <c r="D3" s="87"/>
    </row>
    <row r="4" spans="1:4" ht="16.5" thickBot="1">
      <c r="A4" s="2"/>
    </row>
    <row r="5" spans="1:4" ht="16.5" thickBot="1">
      <c r="A5" s="5" t="s">
        <v>2</v>
      </c>
      <c r="B5" s="8" t="s">
        <v>3</v>
      </c>
      <c r="C5" s="8" t="s">
        <v>4</v>
      </c>
      <c r="D5" s="9" t="s">
        <v>9</v>
      </c>
    </row>
    <row r="6" spans="1:4">
      <c r="A6" s="6" t="s">
        <v>38</v>
      </c>
      <c r="B6" s="19">
        <v>16200000</v>
      </c>
      <c r="C6" s="19">
        <v>7350000</v>
      </c>
      <c r="D6" s="27">
        <f>SUM(B6:C6)</f>
        <v>23550000</v>
      </c>
    </row>
    <row r="7" spans="1:4">
      <c r="A7" s="7" t="s">
        <v>39</v>
      </c>
      <c r="B7" s="32">
        <f>600000*15</f>
        <v>9000000</v>
      </c>
      <c r="C7" s="32">
        <f>175000*25.8</f>
        <v>4515000</v>
      </c>
      <c r="D7" s="33">
        <f>B7+C7</f>
        <v>13515000</v>
      </c>
    </row>
    <row r="8" spans="1:4">
      <c r="A8" s="7" t="s">
        <v>40</v>
      </c>
      <c r="B8" s="23">
        <f>B6-B7</f>
        <v>7200000</v>
      </c>
      <c r="C8" s="23">
        <f>C6-C7</f>
        <v>2835000</v>
      </c>
      <c r="D8" s="24">
        <f>SUM(B8:C8)</f>
        <v>10035000</v>
      </c>
    </row>
    <row r="9" spans="1:4">
      <c r="A9" s="7" t="s">
        <v>41</v>
      </c>
      <c r="B9" s="21">
        <v>840000</v>
      </c>
      <c r="C9" s="21">
        <v>450000</v>
      </c>
      <c r="D9" s="28">
        <f>C9+B9</f>
        <v>1290000</v>
      </c>
    </row>
    <row r="10" spans="1:4">
      <c r="A10" s="7" t="s">
        <v>42</v>
      </c>
      <c r="B10" s="32">
        <v>540000</v>
      </c>
      <c r="C10" s="32">
        <v>480000</v>
      </c>
      <c r="D10" s="34">
        <f>C10+B10</f>
        <v>1020000</v>
      </c>
    </row>
    <row r="11" spans="1:4">
      <c r="A11" s="7" t="s">
        <v>43</v>
      </c>
      <c r="B11" s="21">
        <f>B10+B9</f>
        <v>1380000</v>
      </c>
      <c r="C11" s="21">
        <f>C10+C9</f>
        <v>930000</v>
      </c>
      <c r="D11" s="35">
        <f>D10+D9</f>
        <v>2310000</v>
      </c>
    </row>
    <row r="12" spans="1:4" ht="16.5" thickBot="1">
      <c r="A12" s="16" t="s">
        <v>44</v>
      </c>
      <c r="B12" s="17">
        <f>B8-B11</f>
        <v>5820000</v>
      </c>
      <c r="C12" s="17">
        <f>C8-C11</f>
        <v>1905000</v>
      </c>
      <c r="D12" s="36">
        <f>D8-D11</f>
        <v>7725000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DA4A-2242-4DEE-94D0-E1D84431EF16}">
  <dimension ref="A1:F40"/>
  <sheetViews>
    <sheetView topLeftCell="A29" workbookViewId="0">
      <selection activeCell="D38" sqref="D38"/>
    </sheetView>
  </sheetViews>
  <sheetFormatPr defaultRowHeight="15.75"/>
  <cols>
    <col min="1" max="1" width="32.75" customWidth="1"/>
    <col min="2" max="2" width="14.125" customWidth="1"/>
    <col min="3" max="3" width="10.125" bestFit="1" customWidth="1"/>
    <col min="4" max="4" width="12" customWidth="1"/>
    <col min="5" max="5" width="10.125" bestFit="1" customWidth="1"/>
    <col min="6" max="6" width="11.125" bestFit="1" customWidth="1"/>
  </cols>
  <sheetData>
    <row r="1" spans="1:6">
      <c r="A1" s="87" t="s">
        <v>45</v>
      </c>
      <c r="B1" s="87"/>
      <c r="C1" s="87"/>
      <c r="D1" s="87"/>
      <c r="E1" s="87"/>
      <c r="F1" s="87"/>
    </row>
    <row r="2" spans="1:6">
      <c r="A2" s="87" t="s">
        <v>36</v>
      </c>
      <c r="B2" s="87"/>
      <c r="C2" s="87"/>
      <c r="D2" s="87"/>
      <c r="E2" s="87"/>
      <c r="F2" s="87"/>
    </row>
    <row r="3" spans="1:6">
      <c r="A3" s="87" t="s">
        <v>46</v>
      </c>
      <c r="B3" s="87"/>
      <c r="C3" s="87"/>
      <c r="D3" s="87"/>
      <c r="E3" s="87"/>
      <c r="F3" s="87"/>
    </row>
    <row r="4" spans="1:6" ht="16.5" thickBot="1"/>
    <row r="5" spans="1:6" ht="16.5" thickBot="1">
      <c r="A5" s="45"/>
      <c r="B5" s="46"/>
      <c r="C5" s="47" t="s">
        <v>47</v>
      </c>
      <c r="D5" s="46"/>
      <c r="E5" s="47" t="s">
        <v>48</v>
      </c>
      <c r="F5" s="48" t="s">
        <v>9</v>
      </c>
    </row>
    <row r="6" spans="1:6">
      <c r="A6" s="38" t="s">
        <v>49</v>
      </c>
      <c r="B6" s="39"/>
      <c r="C6" s="39"/>
      <c r="D6" s="39"/>
      <c r="E6" s="39"/>
      <c r="F6" s="40"/>
    </row>
    <row r="7" spans="1:6">
      <c r="A7" s="41" t="s">
        <v>50</v>
      </c>
      <c r="B7" s="42">
        <v>398400</v>
      </c>
      <c r="C7" s="42"/>
      <c r="D7" s="42">
        <v>348000</v>
      </c>
      <c r="E7" s="42"/>
      <c r="F7" s="43"/>
    </row>
    <row r="8" spans="1:6">
      <c r="A8" s="41" t="s">
        <v>51</v>
      </c>
      <c r="B8" s="42"/>
      <c r="C8" s="42"/>
      <c r="D8" s="42"/>
      <c r="E8" s="42"/>
      <c r="F8" s="43"/>
    </row>
    <row r="9" spans="1:6">
      <c r="A9" s="41" t="s">
        <v>52</v>
      </c>
      <c r="B9" s="42">
        <v>-313200</v>
      </c>
      <c r="C9" s="42"/>
      <c r="D9" s="42">
        <v>-286800</v>
      </c>
      <c r="E9" s="42"/>
      <c r="F9" s="43"/>
    </row>
    <row r="10" spans="1:6">
      <c r="A10" s="41" t="s">
        <v>53</v>
      </c>
      <c r="B10" s="37"/>
      <c r="C10" s="37"/>
      <c r="D10" s="37">
        <v>-8400</v>
      </c>
      <c r="E10" s="37"/>
      <c r="F10" s="44"/>
    </row>
    <row r="11" spans="1:6">
      <c r="A11" s="4" t="s">
        <v>54</v>
      </c>
      <c r="B11" s="42"/>
      <c r="C11" s="42">
        <f>SUM(B7:B10)</f>
        <v>85200</v>
      </c>
      <c r="D11" s="42"/>
      <c r="E11" s="42">
        <f>SUM(D7:D10)</f>
        <v>52800</v>
      </c>
      <c r="F11" s="43">
        <f>C11+E11</f>
        <v>138000</v>
      </c>
    </row>
    <row r="12" spans="1:6">
      <c r="A12" s="38" t="s">
        <v>55</v>
      </c>
      <c r="B12" s="42"/>
      <c r="C12" s="42"/>
      <c r="D12" s="42"/>
      <c r="E12" s="42"/>
      <c r="F12" s="43"/>
    </row>
    <row r="13" spans="1:6">
      <c r="A13" s="41" t="s">
        <v>56</v>
      </c>
      <c r="B13" s="37">
        <v>-48000</v>
      </c>
      <c r="C13" s="37"/>
      <c r="D13" s="37"/>
      <c r="E13" s="37"/>
      <c r="F13" s="44"/>
    </row>
    <row r="14" spans="1:6">
      <c r="A14" s="41" t="s">
        <v>57</v>
      </c>
      <c r="B14" s="42"/>
      <c r="C14" s="42">
        <f>B13</f>
        <v>-48000</v>
      </c>
      <c r="D14" s="42"/>
      <c r="E14" s="42"/>
      <c r="F14" s="43">
        <f>E14+C14</f>
        <v>-48000</v>
      </c>
    </row>
    <row r="15" spans="1:6">
      <c r="A15" s="38" t="s">
        <v>58</v>
      </c>
      <c r="B15" s="42"/>
      <c r="C15" s="42"/>
      <c r="D15" s="42"/>
      <c r="E15" s="42"/>
      <c r="F15" s="43"/>
    </row>
    <row r="16" spans="1:6">
      <c r="A16" s="41" t="s">
        <v>59</v>
      </c>
      <c r="B16" s="37"/>
      <c r="C16" s="37"/>
      <c r="D16" s="37">
        <v>-72000</v>
      </c>
      <c r="E16" s="37"/>
      <c r="F16" s="44"/>
    </row>
    <row r="17" spans="1:6">
      <c r="A17" s="41" t="s">
        <v>60</v>
      </c>
      <c r="B17" s="42"/>
      <c r="C17" s="42"/>
      <c r="D17" s="42"/>
      <c r="E17" s="42">
        <f>D16</f>
        <v>-72000</v>
      </c>
      <c r="F17" s="43">
        <f>E17+C17</f>
        <v>-72000</v>
      </c>
    </row>
    <row r="18" spans="1:6">
      <c r="A18" s="49" t="s">
        <v>61</v>
      </c>
      <c r="B18" s="50"/>
      <c r="C18" s="50">
        <f>C11+C14</f>
        <v>37200</v>
      </c>
      <c r="D18" s="50"/>
      <c r="E18" s="50">
        <f>E11+E17</f>
        <v>-19200</v>
      </c>
      <c r="F18" s="51">
        <f>C18+E18</f>
        <v>18000</v>
      </c>
    </row>
    <row r="19" spans="1:6">
      <c r="A19" s="49" t="s">
        <v>62</v>
      </c>
      <c r="B19" s="50"/>
      <c r="C19" s="50">
        <v>36000</v>
      </c>
      <c r="D19" s="50"/>
      <c r="E19" s="50">
        <f>C20</f>
        <v>73200</v>
      </c>
      <c r="F19" s="51">
        <f>C19</f>
        <v>36000</v>
      </c>
    </row>
    <row r="20" spans="1:6" ht="16.5" thickBot="1">
      <c r="A20" s="52" t="s">
        <v>63</v>
      </c>
      <c r="B20" s="53"/>
      <c r="C20" s="53">
        <f>SUM(C18:C19)</f>
        <v>73200</v>
      </c>
      <c r="D20" s="53"/>
      <c r="E20" s="53">
        <f>SUM(E18:E19)</f>
        <v>54000</v>
      </c>
      <c r="F20" s="54">
        <f>E20</f>
        <v>54000</v>
      </c>
    </row>
    <row r="23" spans="1:6" s="1" customFormat="1">
      <c r="A23" s="2" t="s">
        <v>64</v>
      </c>
    </row>
    <row r="24" spans="1:6" s="1" customFormat="1" ht="16.5" thickBot="1">
      <c r="B24" s="3" t="s">
        <v>65</v>
      </c>
      <c r="C24" s="3"/>
      <c r="D24" s="3"/>
      <c r="E24" s="3"/>
    </row>
    <row r="25" spans="1:6" s="1" customFormat="1" ht="16.5" thickBot="1">
      <c r="B25" s="90" t="s">
        <v>47</v>
      </c>
      <c r="C25" s="91"/>
      <c r="D25" s="88" t="s">
        <v>48</v>
      </c>
      <c r="E25" s="89"/>
    </row>
    <row r="26" spans="1:6" s="1" customFormat="1">
      <c r="B26" s="55" t="s">
        <v>66</v>
      </c>
      <c r="C26" s="56">
        <v>57600</v>
      </c>
      <c r="D26" s="57" t="s">
        <v>67</v>
      </c>
      <c r="E26" s="58">
        <v>36000</v>
      </c>
    </row>
    <row r="27" spans="1:6" s="1" customFormat="1">
      <c r="B27" s="59" t="s">
        <v>68</v>
      </c>
      <c r="C27" s="60">
        <v>84000</v>
      </c>
      <c r="D27" s="61" t="s">
        <v>69</v>
      </c>
      <c r="E27" s="62">
        <v>100800</v>
      </c>
    </row>
    <row r="28" spans="1:6" s="1" customFormat="1" ht="28.5">
      <c r="B28" s="59" t="s">
        <v>70</v>
      </c>
      <c r="C28" s="60">
        <v>36000</v>
      </c>
      <c r="D28" s="63"/>
      <c r="E28" s="62">
        <v>36000</v>
      </c>
    </row>
    <row r="29" spans="1:6" s="1" customFormat="1">
      <c r="B29" s="59" t="s">
        <v>71</v>
      </c>
      <c r="C29" s="60">
        <v>68400</v>
      </c>
      <c r="D29" s="61" t="s">
        <v>72</v>
      </c>
      <c r="E29" s="62">
        <v>46800</v>
      </c>
    </row>
    <row r="30" spans="1:6" s="1" customFormat="1">
      <c r="B30" s="59" t="s">
        <v>73</v>
      </c>
      <c r="C30" s="60">
        <v>67200</v>
      </c>
      <c r="D30" s="63"/>
      <c r="E30" s="62">
        <v>67200</v>
      </c>
    </row>
    <row r="31" spans="1:6" s="1" customFormat="1" ht="16.5" thickBot="1">
      <c r="B31" s="64"/>
      <c r="C31" s="65">
        <v>313200</v>
      </c>
      <c r="D31" s="66"/>
      <c r="E31" s="67">
        <v>286800</v>
      </c>
    </row>
    <row r="32" spans="1:6" s="1" customFormat="1"/>
    <row r="33" spans="2:5" s="1" customFormat="1" ht="16.5" thickBot="1"/>
    <row r="34" spans="2:5" s="1" customFormat="1" ht="15.75" customHeight="1" thickBot="1">
      <c r="B34" s="90" t="s">
        <v>47</v>
      </c>
      <c r="C34" s="91"/>
      <c r="D34" s="88" t="s">
        <v>48</v>
      </c>
      <c r="E34" s="89"/>
    </row>
    <row r="35" spans="2:5" s="1" customFormat="1">
      <c r="B35" s="68" t="s">
        <v>66</v>
      </c>
      <c r="C35" s="56">
        <v>57600</v>
      </c>
      <c r="D35" s="61" t="s">
        <v>74</v>
      </c>
      <c r="E35" s="62">
        <v>36000</v>
      </c>
    </row>
    <row r="36" spans="2:5" s="1" customFormat="1">
      <c r="B36" s="68" t="s">
        <v>75</v>
      </c>
      <c r="C36" s="60">
        <v>84000</v>
      </c>
      <c r="D36" s="61" t="s">
        <v>69</v>
      </c>
      <c r="E36" s="62">
        <v>100800</v>
      </c>
    </row>
    <row r="37" spans="2:5" s="1" customFormat="1" ht="28.5">
      <c r="B37" s="68" t="s">
        <v>70</v>
      </c>
      <c r="C37" s="60">
        <v>36000</v>
      </c>
      <c r="D37" s="63"/>
      <c r="E37" s="62">
        <v>36000</v>
      </c>
    </row>
    <row r="38" spans="2:5" s="1" customFormat="1">
      <c r="B38" s="68" t="s">
        <v>71</v>
      </c>
      <c r="C38" s="60">
        <v>68400</v>
      </c>
      <c r="D38" s="61" t="s">
        <v>72</v>
      </c>
      <c r="E38" s="62">
        <v>46800</v>
      </c>
    </row>
    <row r="39" spans="2:5" s="1" customFormat="1">
      <c r="B39" s="68" t="s">
        <v>76</v>
      </c>
      <c r="C39" s="60">
        <v>67200</v>
      </c>
      <c r="D39" s="63"/>
      <c r="E39" s="62">
        <v>67200</v>
      </c>
    </row>
    <row r="40" spans="2:5" s="1" customFormat="1" ht="16.5" thickBot="1">
      <c r="B40" s="69"/>
      <c r="C40" s="65">
        <v>313200</v>
      </c>
      <c r="D40" s="66"/>
      <c r="E40" s="67">
        <v>286800</v>
      </c>
    </row>
  </sheetData>
  <mergeCells count="7">
    <mergeCell ref="D25:E25"/>
    <mergeCell ref="B25:C25"/>
    <mergeCell ref="B34:C34"/>
    <mergeCell ref="D34:E34"/>
    <mergeCell ref="A1:F1"/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778E-E6DE-4265-9429-5F59C31A1D7D}">
  <dimension ref="A1:C59"/>
  <sheetViews>
    <sheetView workbookViewId="0">
      <selection activeCell="C65" sqref="C65"/>
    </sheetView>
  </sheetViews>
  <sheetFormatPr defaultRowHeight="15"/>
  <cols>
    <col min="1" max="1" width="24.625" style="71" customWidth="1"/>
    <col min="2" max="2" width="21.625" style="71" customWidth="1"/>
    <col min="3" max="3" width="31.125" style="75" customWidth="1"/>
    <col min="4" max="16384" width="9" style="71"/>
  </cols>
  <sheetData>
    <row r="1" spans="1:3">
      <c r="A1" s="70" t="s">
        <v>77</v>
      </c>
    </row>
    <row r="3" spans="1:3" ht="15.75" thickBot="1">
      <c r="A3" s="71" t="s">
        <v>78</v>
      </c>
    </row>
    <row r="4" spans="1:3" ht="28.5" customHeight="1">
      <c r="A4" s="92" t="s">
        <v>79</v>
      </c>
      <c r="B4" s="93"/>
      <c r="C4" s="79" t="s">
        <v>80</v>
      </c>
    </row>
    <row r="5" spans="1:3">
      <c r="A5" s="72" t="s">
        <v>81</v>
      </c>
      <c r="B5" s="78">
        <f>(6.2-6)*8000</f>
        <v>1600.0000000000014</v>
      </c>
      <c r="C5" s="75" t="s">
        <v>82</v>
      </c>
    </row>
    <row r="6" spans="1:3">
      <c r="A6" s="72" t="s">
        <v>83</v>
      </c>
      <c r="B6" s="77">
        <f>(7.7-8)*33000</f>
        <v>-9899.9999999999945</v>
      </c>
      <c r="C6" s="75" t="s">
        <v>84</v>
      </c>
    </row>
    <row r="7" spans="1:3">
      <c r="A7" s="72" t="s">
        <v>85</v>
      </c>
      <c r="B7" s="77">
        <f>B5+B6</f>
        <v>-8299.9999999999927</v>
      </c>
    </row>
    <row r="8" spans="1:3" ht="31.5" customHeight="1">
      <c r="A8" s="94" t="s">
        <v>86</v>
      </c>
      <c r="B8" s="95"/>
    </row>
    <row r="9" spans="1:3">
      <c r="A9" s="72" t="s">
        <v>81</v>
      </c>
      <c r="B9" s="81">
        <f>(8000-10000)*6</f>
        <v>-12000</v>
      </c>
      <c r="C9" s="75" t="s">
        <v>87</v>
      </c>
    </row>
    <row r="10" spans="1:3">
      <c r="A10" s="72" t="s">
        <v>83</v>
      </c>
      <c r="B10" s="81">
        <f>(33000-30000)*8</f>
        <v>24000</v>
      </c>
      <c r="C10" s="75" t="s">
        <v>88</v>
      </c>
    </row>
    <row r="11" spans="1:3" ht="15.75" thickBot="1">
      <c r="A11" s="73" t="s">
        <v>89</v>
      </c>
      <c r="B11" s="80">
        <f>B10+B9</f>
        <v>12000</v>
      </c>
    </row>
    <row r="12" spans="1:3" ht="26.25" customHeight="1">
      <c r="A12" s="98" t="s">
        <v>90</v>
      </c>
      <c r="B12" s="98"/>
      <c r="C12" s="98"/>
    </row>
    <row r="14" spans="1:3" ht="15.75" thickBot="1">
      <c r="A14" s="71" t="s">
        <v>91</v>
      </c>
    </row>
    <row r="15" spans="1:3">
      <c r="A15" s="92" t="s">
        <v>92</v>
      </c>
      <c r="B15" s="93"/>
    </row>
    <row r="16" spans="1:3" ht="30">
      <c r="A16" s="72" t="s">
        <v>93</v>
      </c>
      <c r="B16" s="82">
        <f>24000*5</f>
        <v>120000</v>
      </c>
      <c r="C16" s="75" t="s">
        <v>94</v>
      </c>
    </row>
    <row r="17" spans="1:3">
      <c r="A17" s="72" t="s">
        <v>95</v>
      </c>
      <c r="B17" s="82">
        <f>16000*7</f>
        <v>112000</v>
      </c>
      <c r="C17" s="75" t="s">
        <v>96</v>
      </c>
    </row>
    <row r="18" spans="1:3">
      <c r="A18" s="72"/>
      <c r="B18" s="82">
        <f>B16-B17</f>
        <v>8000</v>
      </c>
    </row>
    <row r="19" spans="1:3">
      <c r="A19" s="72" t="s">
        <v>97</v>
      </c>
      <c r="B19" s="76">
        <v>2</v>
      </c>
      <c r="C19" s="75" t="s">
        <v>98</v>
      </c>
    </row>
    <row r="20" spans="1:3">
      <c r="A20" s="94" t="s">
        <v>97</v>
      </c>
      <c r="B20" s="95"/>
    </row>
    <row r="21" spans="1:3" ht="30">
      <c r="A21" s="72" t="s">
        <v>99</v>
      </c>
      <c r="B21" s="82">
        <f>(5-7)*16000</f>
        <v>-32000</v>
      </c>
      <c r="C21" s="75" t="s">
        <v>100</v>
      </c>
    </row>
    <row r="22" spans="1:3" ht="30.75" thickBot="1">
      <c r="A22" s="73" t="s">
        <v>101</v>
      </c>
      <c r="B22" s="83">
        <f>(24000-16000)*5</f>
        <v>40000</v>
      </c>
      <c r="C22" s="75" t="s">
        <v>102</v>
      </c>
    </row>
    <row r="25" spans="1:3" ht="15.75" thickBot="1">
      <c r="A25" s="71" t="s">
        <v>103</v>
      </c>
    </row>
    <row r="26" spans="1:3">
      <c r="A26" s="92" t="s">
        <v>104</v>
      </c>
      <c r="B26" s="93"/>
    </row>
    <row r="27" spans="1:3" ht="30">
      <c r="A27" s="72" t="s">
        <v>105</v>
      </c>
      <c r="B27" s="82">
        <f>28000*9</f>
        <v>252000</v>
      </c>
      <c r="C27" s="75" t="s">
        <v>106</v>
      </c>
    </row>
    <row r="28" spans="1:3">
      <c r="A28" s="72" t="s">
        <v>95</v>
      </c>
      <c r="B28" s="82">
        <f>42000*8</f>
        <v>336000</v>
      </c>
      <c r="C28" s="75" t="s">
        <v>107</v>
      </c>
    </row>
    <row r="29" spans="1:3">
      <c r="A29" s="72"/>
      <c r="B29" s="82">
        <f>B27-B28</f>
        <v>-84000</v>
      </c>
    </row>
    <row r="30" spans="1:3">
      <c r="A30" s="72" t="s">
        <v>108</v>
      </c>
      <c r="B30" s="76">
        <v>1</v>
      </c>
      <c r="C30" s="75" t="s">
        <v>109</v>
      </c>
    </row>
    <row r="31" spans="1:3">
      <c r="A31" s="94" t="s">
        <v>110</v>
      </c>
      <c r="B31" s="95"/>
    </row>
    <row r="32" spans="1:3" ht="30">
      <c r="A32" s="72" t="s">
        <v>99</v>
      </c>
      <c r="B32" s="82">
        <f>(9-8)*42000</f>
        <v>42000</v>
      </c>
      <c r="C32" s="75" t="s">
        <v>111</v>
      </c>
    </row>
    <row r="33" spans="1:3" ht="30.75" thickBot="1">
      <c r="A33" s="73" t="s">
        <v>112</v>
      </c>
      <c r="B33" s="83">
        <f>(28000-42000)*9</f>
        <v>-126000</v>
      </c>
      <c r="C33" s="75" t="s">
        <v>113</v>
      </c>
    </row>
    <row r="36" spans="1:3" ht="15.75" thickBot="1">
      <c r="A36" s="71" t="s">
        <v>114</v>
      </c>
    </row>
    <row r="37" spans="1:3">
      <c r="A37" s="92" t="s">
        <v>115</v>
      </c>
      <c r="B37" s="93"/>
    </row>
    <row r="38" spans="1:3">
      <c r="A38" s="72" t="s">
        <v>116</v>
      </c>
      <c r="B38" s="82">
        <v>13000</v>
      </c>
    </row>
    <row r="39" spans="1:3" ht="30">
      <c r="A39" s="72" t="s">
        <v>117</v>
      </c>
      <c r="B39" s="82">
        <f>2500*4</f>
        <v>10000</v>
      </c>
      <c r="C39" s="75" t="s">
        <v>118</v>
      </c>
    </row>
    <row r="40" spans="1:3">
      <c r="A40" s="72" t="s">
        <v>119</v>
      </c>
      <c r="B40" s="82">
        <f>B39-B38</f>
        <v>-3000</v>
      </c>
    </row>
    <row r="41" spans="1:3" ht="15" customHeight="1">
      <c r="A41" s="96" t="s">
        <v>120</v>
      </c>
      <c r="B41" s="97"/>
    </row>
    <row r="42" spans="1:3" ht="30">
      <c r="A42" s="72" t="s">
        <v>121</v>
      </c>
      <c r="B42" s="82">
        <v>10000</v>
      </c>
    </row>
    <row r="43" spans="1:3" ht="30">
      <c r="A43" s="72" t="s">
        <v>122</v>
      </c>
      <c r="B43" s="84">
        <f>3000*4</f>
        <v>12000</v>
      </c>
      <c r="C43" s="75" t="s">
        <v>123</v>
      </c>
    </row>
    <row r="44" spans="1:3" ht="15.75" thickBot="1">
      <c r="A44" s="73" t="s">
        <v>124</v>
      </c>
      <c r="B44" s="83">
        <f>B43-B42</f>
        <v>2000</v>
      </c>
    </row>
    <row r="47" spans="1:3" ht="15.75" thickBot="1">
      <c r="A47" s="71" t="s">
        <v>125</v>
      </c>
    </row>
    <row r="48" spans="1:3">
      <c r="A48" s="92" t="s">
        <v>126</v>
      </c>
      <c r="B48" s="93"/>
    </row>
    <row r="49" spans="1:3">
      <c r="A49" s="72" t="s">
        <v>127</v>
      </c>
      <c r="B49" s="82">
        <v>420000</v>
      </c>
    </row>
    <row r="50" spans="1:3">
      <c r="A50" s="72" t="s">
        <v>128</v>
      </c>
      <c r="B50" s="82">
        <f>(10000*2)*20</f>
        <v>400000</v>
      </c>
      <c r="C50" s="75" t="s">
        <v>129</v>
      </c>
    </row>
    <row r="51" spans="1:3">
      <c r="A51" s="72" t="s">
        <v>130</v>
      </c>
      <c r="B51" s="82">
        <f>B50-B49</f>
        <v>-20000</v>
      </c>
    </row>
    <row r="52" spans="1:3" ht="15" customHeight="1">
      <c r="A52" s="96" t="s">
        <v>131</v>
      </c>
      <c r="B52" s="97"/>
    </row>
    <row r="53" spans="1:3">
      <c r="A53" s="74" t="s">
        <v>132</v>
      </c>
      <c r="B53" s="85">
        <v>400000</v>
      </c>
    </row>
    <row r="54" spans="1:3">
      <c r="A54" s="74" t="s">
        <v>133</v>
      </c>
      <c r="B54" s="85">
        <f>(9500*2)*20</f>
        <v>380000</v>
      </c>
      <c r="C54" s="75" t="s">
        <v>134</v>
      </c>
    </row>
    <row r="55" spans="1:3">
      <c r="A55" s="72" t="s">
        <v>135</v>
      </c>
      <c r="B55" s="82">
        <f>B54-B53</f>
        <v>-20000</v>
      </c>
    </row>
    <row r="56" spans="1:3" ht="15" customHeight="1">
      <c r="A56" s="96" t="s">
        <v>136</v>
      </c>
      <c r="B56" s="97"/>
    </row>
    <row r="57" spans="1:3" ht="45">
      <c r="A57" s="74" t="s">
        <v>137</v>
      </c>
      <c r="B57" s="82">
        <f>(19000-20200)*20</f>
        <v>-24000</v>
      </c>
      <c r="C57" s="75" t="s">
        <v>138</v>
      </c>
    </row>
    <row r="58" spans="1:3" ht="15" customHeight="1">
      <c r="A58" s="96" t="s">
        <v>139</v>
      </c>
      <c r="B58" s="97"/>
    </row>
    <row r="59" spans="1:3" ht="45.75" thickBot="1">
      <c r="A59" s="73" t="s">
        <v>140</v>
      </c>
      <c r="B59" s="83">
        <f>(20200-20000)*20</f>
        <v>4000</v>
      </c>
      <c r="C59" s="75" t="s">
        <v>141</v>
      </c>
    </row>
  </sheetData>
  <mergeCells count="13">
    <mergeCell ref="A58:B58"/>
    <mergeCell ref="A12:C12"/>
    <mergeCell ref="A31:B31"/>
    <mergeCell ref="A37:B37"/>
    <mergeCell ref="A41:B41"/>
    <mergeCell ref="A48:B48"/>
    <mergeCell ref="A56:B56"/>
    <mergeCell ref="A52:B52"/>
    <mergeCell ref="A4:B4"/>
    <mergeCell ref="A8:B8"/>
    <mergeCell ref="A15:B15"/>
    <mergeCell ref="A20:B20"/>
    <mergeCell ref="A26:B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1E90F-301C-419F-B775-5FFDE342B84A}"/>
</file>

<file path=customXml/itemProps2.xml><?xml version="1.0" encoding="utf-8"?>
<ds:datastoreItem xmlns:ds="http://schemas.openxmlformats.org/officeDocument/2006/customXml" ds:itemID="{7C11946D-62B6-46FB-80BA-34891149DD34}"/>
</file>

<file path=customXml/itemProps3.xml><?xml version="1.0" encoding="utf-8"?>
<ds:datastoreItem xmlns:ds="http://schemas.openxmlformats.org/officeDocument/2006/customXml" ds:itemID="{12CE64EE-256C-4019-956D-06518B9DF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Ward</dc:creator>
  <cp:keywords/>
  <dc:description/>
  <cp:lastModifiedBy>Jessica Keramea</cp:lastModifiedBy>
  <cp:revision/>
  <dcterms:created xsi:type="dcterms:W3CDTF">2022-12-15T07:39:49Z</dcterms:created>
  <dcterms:modified xsi:type="dcterms:W3CDTF">2022-12-21T22:48:18Z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2022-12-15T16:22:10+11:00</dcterms:created>
  <dcterms:modified xsi:type="dcterms:W3CDTF">2022-12-15T16:22:10+11:00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2022-12-21T22:46:16Z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05973603-c6e5-44b1-8690-4726f8439b0a</vt:lpwstr>
  </property>
  <property fmtid="{D5CDD505-2E9C-101B-9397-08002B2CF9AE}" pid="9" name="MSIP_Label_c96ed6d7-747c-41fd-b042-ff14484edc24_ContentBits">
    <vt:lpwstr>0</vt:lpwstr>
  </property>
</Properties>
</file>