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aeltrbovic/Google Drive/1. Edutemps/EDDY/FNSACC524 Prepare financial reports for corporate entities/NEW/"/>
    </mc:Choice>
  </mc:AlternateContent>
  <xr:revisionPtr revIDLastSave="4" documentId="8_{7CB34375-D9D7-D34B-8074-A72FA7A5B207}" xr6:coauthVersionLast="47" xr6:coauthVersionMax="47" xr10:uidLastSave="{F6BA796C-5FB0-4768-849B-3C4B5E116122}"/>
  <bookViews>
    <workbookView xWindow="20320" yWindow="500" windowWidth="23360" windowHeight="24360" tabRatio="694" xr2:uid="{98897FB5-3B4C-4684-86BA-3A4A337CF945}"/>
  </bookViews>
  <sheets>
    <sheet name="Cover" sheetId="11" r:id="rId1"/>
    <sheet name="Asset Register" sheetId="5" r:id="rId2"/>
    <sheet name="COGS Summary" sheetId="8" r:id="rId3"/>
    <sheet name="Trial Balance" sheetId="1" r:id="rId4"/>
    <sheet name="Profit and Loss" sheetId="2" r:id="rId5"/>
    <sheet name="Balance Sheet" sheetId="3" r:id="rId6"/>
    <sheet name="Tables" sheetId="6" r:id="rId7"/>
    <sheet name="Charts" sheetId="7" r:id="rId8"/>
    <sheet name="Diagrams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I7" i="5"/>
  <c r="J7" i="5"/>
  <c r="K7" i="5"/>
  <c r="H8" i="5"/>
  <c r="I8" i="5"/>
  <c r="J8" i="5"/>
  <c r="K8" i="5"/>
  <c r="H9" i="5"/>
  <c r="I9" i="5"/>
  <c r="J9" i="5"/>
  <c r="K9" i="5"/>
  <c r="H10" i="5"/>
  <c r="I10" i="5"/>
  <c r="J10" i="5"/>
  <c r="K10" i="5"/>
  <c r="H11" i="5"/>
  <c r="I11" i="5"/>
  <c r="J11" i="5"/>
  <c r="K11" i="5"/>
  <c r="H12" i="5"/>
  <c r="I12" i="5"/>
  <c r="J12" i="5"/>
  <c r="K12" i="5"/>
  <c r="H13" i="5"/>
  <c r="I13" i="5"/>
  <c r="J13" i="5"/>
  <c r="K13" i="5"/>
  <c r="H14" i="5"/>
  <c r="I14" i="5"/>
  <c r="J14" i="5"/>
  <c r="K14" i="5"/>
  <c r="H15" i="5"/>
  <c r="I15" i="5"/>
  <c r="J15" i="5"/>
  <c r="K15" i="5"/>
  <c r="H16" i="5"/>
  <c r="I16" i="5"/>
  <c r="J16" i="5"/>
  <c r="K16" i="5"/>
  <c r="H17" i="5"/>
  <c r="I17" i="5"/>
  <c r="J17" i="5"/>
  <c r="K17" i="5"/>
  <c r="C11" i="8"/>
  <c r="D11" i="8"/>
  <c r="E11" i="8"/>
  <c r="F11" i="8"/>
  <c r="G11" i="8"/>
  <c r="H11" i="8"/>
  <c r="C13" i="1"/>
  <c r="D25" i="1"/>
  <c r="H42" i="3"/>
  <c r="F28" i="3" l="1"/>
  <c r="F27" i="3"/>
  <c r="G25" i="3"/>
  <c r="G16" i="3"/>
  <c r="G8" i="6" s="1"/>
  <c r="D33" i="1"/>
  <c r="G33" i="3"/>
  <c r="H43" i="3" s="1"/>
  <c r="G7" i="3"/>
  <c r="C28" i="1"/>
  <c r="E53" i="2" s="1"/>
  <c r="G29" i="3"/>
  <c r="E50" i="2"/>
  <c r="E49" i="2"/>
  <c r="G24" i="3"/>
  <c r="D31" i="2"/>
  <c r="E33" i="2" s="1"/>
  <c r="C8" i="6" s="1"/>
  <c r="C17" i="1"/>
  <c r="F14" i="3"/>
  <c r="F13" i="3"/>
  <c r="F12" i="3"/>
  <c r="F11" i="3"/>
  <c r="F10" i="3"/>
  <c r="F9" i="3"/>
  <c r="C15" i="1"/>
  <c r="C33" i="1" s="1"/>
  <c r="C19" i="1"/>
  <c r="C22" i="1"/>
  <c r="C18" i="1"/>
  <c r="C9" i="6"/>
  <c r="G13" i="6"/>
  <c r="G12" i="6"/>
  <c r="F17" i="3"/>
  <c r="G9" i="6" s="1"/>
  <c r="L4" i="6"/>
  <c r="H4" i="6"/>
  <c r="D4" i="6"/>
  <c r="L6" i="6"/>
  <c r="E23" i="2"/>
  <c r="C6" i="6" s="1"/>
  <c r="E14" i="2"/>
  <c r="C5" i="6" s="1"/>
  <c r="E44" i="2"/>
  <c r="C10" i="6" s="1"/>
  <c r="E40" i="2"/>
  <c r="H30" i="3" l="1"/>
  <c r="F18" i="3"/>
  <c r="G19" i="3" s="1"/>
  <c r="G15" i="3"/>
  <c r="G7" i="6"/>
  <c r="C7" i="6"/>
  <c r="E25" i="2"/>
  <c r="E35" i="2" s="1"/>
  <c r="E46" i="2" s="1"/>
  <c r="E52" i="2" s="1"/>
  <c r="E54" i="2" s="1"/>
  <c r="G10" i="6" l="1"/>
  <c r="C11" i="6"/>
  <c r="K6" i="6" s="1"/>
  <c r="G5" i="6"/>
  <c r="H20" i="3"/>
  <c r="G34" i="3" s="1"/>
  <c r="H35" i="3" l="1"/>
  <c r="H37" i="3" s="1"/>
  <c r="K5" i="6"/>
  <c r="G16" i="6"/>
  <c r="L5" i="6"/>
</calcChain>
</file>

<file path=xl/sharedStrings.xml><?xml version="1.0" encoding="utf-8"?>
<sst xmlns="http://schemas.openxmlformats.org/spreadsheetml/2006/main" count="261" uniqueCount="161">
  <si>
    <t>Burlap Attire Financial Reports</t>
  </si>
  <si>
    <t>FY 2021/22</t>
  </si>
  <si>
    <t>Burlap Attire</t>
  </si>
  <si>
    <t>Fixed Asset Register</t>
  </si>
  <si>
    <t>Asset Number</t>
  </si>
  <si>
    <t>Asset Description</t>
  </si>
  <si>
    <t>Cost</t>
  </si>
  <si>
    <t>Date Purchased</t>
  </si>
  <si>
    <t>Useful life*</t>
  </si>
  <si>
    <t>Method of depreciation**</t>
  </si>
  <si>
    <t>Yearly  depreciation</t>
  </si>
  <si>
    <t>Accumulated depreciation</t>
  </si>
  <si>
    <t>Net Realisable Value (NRV)</t>
  </si>
  <si>
    <t>Residual Value***</t>
  </si>
  <si>
    <t>001</t>
  </si>
  <si>
    <t>Pricing and tagging guns</t>
  </si>
  <si>
    <t>Prime cost (straight line method)</t>
  </si>
  <si>
    <t>002</t>
  </si>
  <si>
    <t>003</t>
  </si>
  <si>
    <t>Mannequin</t>
  </si>
  <si>
    <t>004</t>
  </si>
  <si>
    <t>005</t>
  </si>
  <si>
    <t>006</t>
  </si>
  <si>
    <t>007</t>
  </si>
  <si>
    <t>008</t>
  </si>
  <si>
    <t>Cash register</t>
  </si>
  <si>
    <t>009</t>
  </si>
  <si>
    <t>Rack</t>
  </si>
  <si>
    <t>010</t>
  </si>
  <si>
    <t>Cupboards</t>
  </si>
  <si>
    <t>011</t>
  </si>
  <si>
    <t>Electronic Surveillance System</t>
  </si>
  <si>
    <t>Organisational Policy:</t>
  </si>
  <si>
    <t>* Useful life in years is based on ATO TR 2021/3</t>
  </si>
  <si>
    <t>** The prime cost method is used for all fixed assets</t>
  </si>
  <si>
    <t>*** Residual value is set at 5% of the original cost</t>
  </si>
  <si>
    <t>Cost of Goods Sold Summary</t>
  </si>
  <si>
    <t xml:space="preserve"> 30 June 2022</t>
  </si>
  <si>
    <t>Tops</t>
  </si>
  <si>
    <t>Dresses</t>
  </si>
  <si>
    <t>Sweaters</t>
  </si>
  <si>
    <t>Apparel</t>
  </si>
  <si>
    <t>Swimwear</t>
  </si>
  <si>
    <t>Accessories</t>
  </si>
  <si>
    <t xml:space="preserve">Opening Stock, 1 July 2021 </t>
  </si>
  <si>
    <t>Add: Purchases</t>
  </si>
  <si>
    <t xml:space="preserve">Less: Closing Stock, 30 June 2022 </t>
  </si>
  <si>
    <t>Cost of Goods Sold</t>
  </si>
  <si>
    <t>Adjusted Trial Balance</t>
  </si>
  <si>
    <t>Dr</t>
  </si>
  <si>
    <t>Cr</t>
  </si>
  <si>
    <t>Account Type</t>
  </si>
  <si>
    <t>Report</t>
  </si>
  <si>
    <t>Sales - Tops</t>
  </si>
  <si>
    <t>Sales</t>
  </si>
  <si>
    <t>Income Statement</t>
  </si>
  <si>
    <t>Sales - Dresses</t>
  </si>
  <si>
    <t>Sales - Sweaters</t>
  </si>
  <si>
    <t>Sales - Apparel</t>
  </si>
  <si>
    <t>Sales - Swimwear</t>
  </si>
  <si>
    <t>Sales - Accessories</t>
  </si>
  <si>
    <t>Cash in hand</t>
  </si>
  <si>
    <t>Current Asset</t>
  </si>
  <si>
    <t>Statement of Financial Position</t>
  </si>
  <si>
    <t>Accounts Receivable - M&amp;H</t>
  </si>
  <si>
    <t>Fixed Assets</t>
  </si>
  <si>
    <t>Accumulated Depreciation - Fixed Assets</t>
  </si>
  <si>
    <t>Cost of Sales</t>
  </si>
  <si>
    <t>Advertising</t>
  </si>
  <si>
    <t>Expense</t>
  </si>
  <si>
    <t>Depreciation</t>
  </si>
  <si>
    <t>Rounding's and other Adjustments</t>
  </si>
  <si>
    <t>Other Income</t>
  </si>
  <si>
    <t>Interest Earned</t>
  </si>
  <si>
    <t>Bank Fees</t>
  </si>
  <si>
    <t>Other Expenses</t>
  </si>
  <si>
    <t>GST Collected</t>
  </si>
  <si>
    <t>Currentl Liability</t>
  </si>
  <si>
    <t>GST Paid</t>
  </si>
  <si>
    <t>Owner's Capital</t>
  </si>
  <si>
    <t>Equity</t>
  </si>
  <si>
    <t>Provision for long service leave</t>
  </si>
  <si>
    <t>Non-current Liability</t>
  </si>
  <si>
    <t>Provision for Income Tax</t>
  </si>
  <si>
    <t>Income Tax Expense</t>
  </si>
  <si>
    <t>Annual leave expense</t>
  </si>
  <si>
    <t xml:space="preserve">Salaries and wages </t>
  </si>
  <si>
    <t>Rent Expense</t>
  </si>
  <si>
    <t xml:space="preserve">* If total debits and total credits are equal fill cells with green background </t>
  </si>
  <si>
    <t xml:space="preserve">* If total debits and total credits are not equal fill cells with red background </t>
  </si>
  <si>
    <t>Profit and Loss Statement</t>
  </si>
  <si>
    <t>Y/E 30 June 2022</t>
  </si>
  <si>
    <t>Total Sales</t>
  </si>
  <si>
    <t>Cost of Sales - Tops</t>
  </si>
  <si>
    <t>Cost of Sales - Dresses</t>
  </si>
  <si>
    <t>Cost of Sales - Sweaters</t>
  </si>
  <si>
    <t>Cost of Sales - Apparel</t>
  </si>
  <si>
    <t>Cost of Sales - Swimwear</t>
  </si>
  <si>
    <t>Cost of Sales - Accessories</t>
  </si>
  <si>
    <t>Total Cost of Sales</t>
  </si>
  <si>
    <t>Gross Profit</t>
  </si>
  <si>
    <t>Expenses</t>
  </si>
  <si>
    <t>Long Service Leave</t>
  </si>
  <si>
    <t>Total Expenses</t>
  </si>
  <si>
    <t>Operating Profit</t>
  </si>
  <si>
    <t>Total Other Income</t>
  </si>
  <si>
    <t>Total Other Expenses</t>
  </si>
  <si>
    <t>Net Profit/(Loss)</t>
  </si>
  <si>
    <t>Less: GST collected</t>
  </si>
  <si>
    <t>Add: GST paid</t>
  </si>
  <si>
    <t>Gross Taxable Income</t>
  </si>
  <si>
    <t>Net Profit/(Loss) after Tax</t>
  </si>
  <si>
    <t>Balance Sheet</t>
  </si>
  <si>
    <t>As at 30 June 2022</t>
  </si>
  <si>
    <t>Assets</t>
  </si>
  <si>
    <t>Bank of Brisbane</t>
  </si>
  <si>
    <t>Closing Inventory</t>
  </si>
  <si>
    <t>Burlap - Tops</t>
  </si>
  <si>
    <t>Burlap  - Dresses</t>
  </si>
  <si>
    <t>Burlap  - Sweaters</t>
  </si>
  <si>
    <t>Burlap - Apparel</t>
  </si>
  <si>
    <t>Burlap  - Swimwear</t>
  </si>
  <si>
    <t>Burlap - Accessories</t>
  </si>
  <si>
    <t>Accounts Receivable (M&amp;H)</t>
  </si>
  <si>
    <t>Accumulated Depreciation</t>
  </si>
  <si>
    <t>Total Assets</t>
  </si>
  <si>
    <t>Liabilities and Owner's Equity</t>
  </si>
  <si>
    <t>Liabilities</t>
  </si>
  <si>
    <t>Provision for income tax</t>
  </si>
  <si>
    <t>GST Liabilities</t>
  </si>
  <si>
    <t>Total GST Liabilities</t>
  </si>
  <si>
    <t>Total Liabilities</t>
  </si>
  <si>
    <t>Owner's Equity</t>
  </si>
  <si>
    <t>Retained earnings</t>
  </si>
  <si>
    <t>Total Equity</t>
  </si>
  <si>
    <t>Total Liabilities and Owner's Equity</t>
  </si>
  <si>
    <t>Statement of Changes in Equity</t>
  </si>
  <si>
    <t>Owner's Capital, 1 July 2021</t>
  </si>
  <si>
    <t>Add: Net Income</t>
  </si>
  <si>
    <t>Owner's Capital, 30 June 2022</t>
  </si>
  <si>
    <t>Supporting Data: Tables</t>
  </si>
  <si>
    <t xml:space="preserve">Cash </t>
  </si>
  <si>
    <t>Return on Equity (Net Profit/Capital)</t>
  </si>
  <si>
    <t>Trade Debtors</t>
  </si>
  <si>
    <t>-</t>
  </si>
  <si>
    <t>Return on Sales (Net Profit/Sales)</t>
  </si>
  <si>
    <t xml:space="preserve">Gross Profit </t>
  </si>
  <si>
    <t xml:space="preserve">Inventory </t>
  </si>
  <si>
    <t>Table 3: Key Ratios</t>
  </si>
  <si>
    <t xml:space="preserve">Net Profit </t>
  </si>
  <si>
    <t>Trade Creditors</t>
  </si>
  <si>
    <t>Table 1: Net Profit Comparison</t>
  </si>
  <si>
    <t>ATO Liabilities Payable</t>
  </si>
  <si>
    <t>PAYG Withholding Payable</t>
  </si>
  <si>
    <t>Table 2: Balance Sheet Comparison</t>
  </si>
  <si>
    <t>Supporting Data: Charts</t>
  </si>
  <si>
    <t>Chart 1: Sales by Product  (Pie Chart)</t>
  </si>
  <si>
    <t>Chart 2: Capital Comparison 2021 to 2022 (Column Chart)</t>
  </si>
  <si>
    <t>Chart 3: Asset Breakdown (Bar Graph)</t>
  </si>
  <si>
    <t>Supporting Data: Diagrams</t>
  </si>
  <si>
    <t>Diagram 1: Steps for preparing a statement of cashflows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</si>
</sst>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;\(&quot;$&quot;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0000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26" xfId="0" applyBorder="1"/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1" xfId="0" applyBorder="1"/>
    <xf numFmtId="0" fontId="7" fillId="0" borderId="1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22" xfId="0" applyFont="1" applyBorder="1"/>
    <xf numFmtId="0" fontId="9" fillId="3" borderId="9" xfId="0" applyFont="1" applyFill="1" applyBorder="1" applyAlignment="1">
      <alignment horizontal="center" vertical="center" wrapText="1"/>
    </xf>
    <xf numFmtId="0" fontId="10" fillId="0" borderId="24" xfId="0" quotePrefix="1" applyFont="1" applyBorder="1" applyAlignment="1">
      <alignment horizontal="center"/>
    </xf>
    <xf numFmtId="0" fontId="10" fillId="0" borderId="24" xfId="0" applyFont="1" applyBorder="1"/>
    <xf numFmtId="164" fontId="10" fillId="0" borderId="24" xfId="1" applyFont="1" applyBorder="1"/>
    <xf numFmtId="14" fontId="10" fillId="0" borderId="24" xfId="1" applyNumberFormat="1" applyFont="1" applyBorder="1"/>
    <xf numFmtId="0" fontId="10" fillId="0" borderId="24" xfId="0" applyFont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4" xfId="0" applyNumberFormat="1" applyFont="1" applyBorder="1"/>
    <xf numFmtId="0" fontId="10" fillId="0" borderId="25" xfId="0" quotePrefix="1" applyFont="1" applyBorder="1" applyAlignment="1">
      <alignment horizontal="center"/>
    </xf>
    <xf numFmtId="0" fontId="10" fillId="0" borderId="25" xfId="0" applyFont="1" applyBorder="1"/>
    <xf numFmtId="164" fontId="10" fillId="0" borderId="25" xfId="1" applyFont="1" applyBorder="1"/>
    <xf numFmtId="14" fontId="10" fillId="0" borderId="25" xfId="1" applyNumberFormat="1" applyFont="1" applyBorder="1"/>
    <xf numFmtId="0" fontId="10" fillId="0" borderId="25" xfId="0" applyFont="1" applyBorder="1" applyAlignment="1">
      <alignment horizontal="center"/>
    </xf>
    <xf numFmtId="164" fontId="10" fillId="0" borderId="25" xfId="0" applyNumberFormat="1" applyFont="1" applyBorder="1" applyAlignment="1">
      <alignment horizontal="center"/>
    </xf>
    <xf numFmtId="164" fontId="10" fillId="0" borderId="25" xfId="0" applyNumberFormat="1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7" fillId="0" borderId="0" xfId="0" applyFont="1"/>
    <xf numFmtId="0" fontId="13" fillId="0" borderId="1" xfId="2" applyFont="1" applyBorder="1"/>
    <xf numFmtId="0" fontId="14" fillId="0" borderId="1" xfId="0" applyFont="1" applyBorder="1"/>
    <xf numFmtId="0" fontId="15" fillId="0" borderId="5" xfId="0" applyFont="1" applyBorder="1"/>
    <xf numFmtId="0" fontId="15" fillId="0" borderId="7" xfId="0" applyFont="1" applyBorder="1"/>
    <xf numFmtId="0" fontId="15" fillId="0" borderId="1" xfId="0" applyFont="1" applyBorder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5" fillId="0" borderId="20" xfId="0" applyFont="1" applyBorder="1"/>
    <xf numFmtId="164" fontId="18" fillId="0" borderId="21" xfId="0" applyNumberFormat="1" applyFont="1" applyBorder="1"/>
    <xf numFmtId="0" fontId="18" fillId="0" borderId="19" xfId="0" applyFont="1" applyBorder="1" applyAlignment="1">
      <alignment horizontal="center"/>
    </xf>
    <xf numFmtId="0" fontId="18" fillId="0" borderId="20" xfId="0" applyFont="1" applyBorder="1"/>
    <xf numFmtId="0" fontId="15" fillId="0" borderId="21" xfId="0" applyFont="1" applyBorder="1"/>
    <xf numFmtId="0" fontId="18" fillId="0" borderId="21" xfId="0" applyFont="1" applyBorder="1" applyAlignment="1">
      <alignment horizontal="center"/>
    </xf>
    <xf numFmtId="0" fontId="18" fillId="0" borderId="21" xfId="0" applyFont="1" applyBorder="1"/>
    <xf numFmtId="0" fontId="15" fillId="0" borderId="22" xfId="0" applyFont="1" applyBorder="1"/>
    <xf numFmtId="164" fontId="15" fillId="0" borderId="22" xfId="0" applyNumberFormat="1" applyFont="1" applyBorder="1"/>
    <xf numFmtId="0" fontId="15" fillId="0" borderId="22" xfId="0" applyFont="1" applyBorder="1" applyAlignment="1">
      <alignment horizontal="center"/>
    </xf>
    <xf numFmtId="164" fontId="19" fillId="4" borderId="18" xfId="0" applyNumberFormat="1" applyFont="1" applyFill="1" applyBorder="1"/>
    <xf numFmtId="0" fontId="15" fillId="0" borderId="1" xfId="0" applyFont="1" applyBorder="1" applyAlignment="1">
      <alignment horizontal="left"/>
    </xf>
    <xf numFmtId="164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20" fillId="0" borderId="1" xfId="0" applyFont="1" applyBorder="1"/>
    <xf numFmtId="0" fontId="15" fillId="0" borderId="4" xfId="0" applyFont="1" applyBorder="1"/>
    <xf numFmtId="0" fontId="17" fillId="3" borderId="9" xfId="0" applyFont="1" applyFill="1" applyBorder="1" applyAlignment="1">
      <alignment horizontal="center" vertical="center" wrapText="1"/>
    </xf>
    <xf numFmtId="164" fontId="18" fillId="0" borderId="3" xfId="0" applyNumberFormat="1" applyFont="1" applyBorder="1"/>
    <xf numFmtId="164" fontId="18" fillId="0" borderId="1" xfId="0" applyNumberFormat="1" applyFont="1" applyBorder="1"/>
    <xf numFmtId="0" fontId="21" fillId="0" borderId="1" xfId="0" applyFont="1" applyBorder="1"/>
    <xf numFmtId="164" fontId="22" fillId="0" borderId="18" xfId="0" applyNumberFormat="1" applyFont="1" applyBorder="1"/>
    <xf numFmtId="164" fontId="18" fillId="0" borderId="1" xfId="1" applyFont="1" applyBorder="1"/>
    <xf numFmtId="164" fontId="15" fillId="0" borderId="1" xfId="1" applyFont="1" applyBorder="1"/>
    <xf numFmtId="164" fontId="15" fillId="0" borderId="2" xfId="0" applyNumberFormat="1" applyFont="1" applyBorder="1"/>
    <xf numFmtId="164" fontId="21" fillId="0" borderId="2" xfId="0" applyNumberFormat="1" applyFont="1" applyBorder="1"/>
    <xf numFmtId="164" fontId="18" fillId="0" borderId="4" xfId="0" applyNumberFormat="1" applyFont="1" applyBorder="1"/>
    <xf numFmtId="164" fontId="19" fillId="0" borderId="23" xfId="0" applyNumberFormat="1" applyFont="1" applyBorder="1"/>
    <xf numFmtId="0" fontId="15" fillId="0" borderId="1" xfId="0" applyFont="1" applyBorder="1" applyAlignment="1">
      <alignment horizontal="left" indent="2"/>
    </xf>
    <xf numFmtId="164" fontId="18" fillId="0" borderId="18" xfId="1" applyFont="1" applyBorder="1"/>
    <xf numFmtId="165" fontId="18" fillId="0" borderId="1" xfId="1" applyNumberFormat="1" applyFont="1" applyBorder="1"/>
    <xf numFmtId="164" fontId="21" fillId="0" borderId="3" xfId="1" applyFont="1" applyBorder="1"/>
    <xf numFmtId="164" fontId="21" fillId="0" borderId="23" xfId="1" applyFont="1" applyBorder="1"/>
    <xf numFmtId="164" fontId="21" fillId="0" borderId="1" xfId="1" applyFont="1" applyBorder="1"/>
    <xf numFmtId="164" fontId="21" fillId="0" borderId="23" xfId="0" applyNumberFormat="1" applyFont="1" applyBorder="1"/>
    <xf numFmtId="0" fontId="23" fillId="0" borderId="1" xfId="0" applyFont="1" applyBorder="1"/>
    <xf numFmtId="0" fontId="15" fillId="2" borderId="8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164" fontId="18" fillId="2" borderId="9" xfId="0" applyNumberFormat="1" applyFont="1" applyFill="1" applyBorder="1" applyAlignment="1">
      <alignment horizontal="right" vertical="center" wrapText="1"/>
    </xf>
    <xf numFmtId="164" fontId="26" fillId="2" borderId="9" xfId="0" applyNumberFormat="1" applyFont="1" applyFill="1" applyBorder="1" applyAlignment="1">
      <alignment horizontal="right" vertical="center" wrapText="1"/>
    </xf>
    <xf numFmtId="0" fontId="7" fillId="0" borderId="6" xfId="0" applyFont="1" applyBorder="1"/>
    <xf numFmtId="10" fontId="18" fillId="2" borderId="9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165" fontId="21" fillId="0" borderId="2" xfId="1" applyNumberFormat="1" applyFont="1" applyBorder="1"/>
    <xf numFmtId="0" fontId="28" fillId="0" borderId="35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5" fontId="8" fillId="0" borderId="1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27" fillId="5" borderId="32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center" vertical="center"/>
    </xf>
    <xf numFmtId="0" fontId="27" fillId="5" borderId="3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Sales by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D6-424E-BED5-77C737D598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D6-424E-BED5-77C737D598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D6-424E-BED5-77C737D598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D6-424E-BED5-77C737D598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D6-424E-BED5-77C737D598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DD6-424E-BED5-77C737D598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'Profit and Loss'!$C$7:$C$12</c:f>
              <c:strCache>
                <c:ptCount val="6"/>
                <c:pt idx="0">
                  <c:v>Sales - Tops</c:v>
                </c:pt>
                <c:pt idx="1">
                  <c:v>Sales - Dresses</c:v>
                </c:pt>
                <c:pt idx="2">
                  <c:v>Sales - Sweaters</c:v>
                </c:pt>
                <c:pt idx="3">
                  <c:v>Sales - Apparel</c:v>
                </c:pt>
                <c:pt idx="4">
                  <c:v>Sales - Swimwear</c:v>
                </c:pt>
                <c:pt idx="5">
                  <c:v>Sales - Accessories</c:v>
                </c:pt>
              </c:strCache>
            </c:strRef>
          </c:cat>
          <c:val>
            <c:numRef>
              <c:f>'Profit and Loss'!$D$7:$D$12</c:f>
              <c:numCache>
                <c:formatCode>_-"$"* #,##0.00_-;\-"$"* #,##0.00_-;_-"$"* "-"??_-;_-@_-</c:formatCode>
                <c:ptCount val="6"/>
                <c:pt idx="0">
                  <c:v>16363.64</c:v>
                </c:pt>
                <c:pt idx="1">
                  <c:v>15818.19</c:v>
                </c:pt>
                <c:pt idx="2">
                  <c:v>32563.63</c:v>
                </c:pt>
                <c:pt idx="3">
                  <c:v>60727.28</c:v>
                </c:pt>
                <c:pt idx="4">
                  <c:v>18545.439999999999</c:v>
                </c:pt>
                <c:pt idx="5">
                  <c:v>13409.11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A-459E-AAC1-E554428749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cap="none" spc="2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rPr>
              <a:t>Capital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cap="none" spc="2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Tables!$F$16</c:f>
              <c:strCache>
                <c:ptCount val="1"/>
                <c:pt idx="0">
                  <c:v>Owner's Equity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Tables!$G$4:$H$4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Tables!$G$16:$H$16</c:f>
              <c:numCache>
                <c:formatCode>_-"$"* #,##0.00_-;\-"$"* #,##0.00_-;_-"$"* "-"??_-;_-@_-</c:formatCode>
                <c:ptCount val="2"/>
                <c:pt idx="0">
                  <c:v>82158.73000000001</c:v>
                </c:pt>
                <c:pt idx="1">
                  <c:v>289773.43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3-447F-A09F-DF8AA57DF9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54407696"/>
        <c:axId val="354395216"/>
      </c:barChart>
      <c:catAx>
        <c:axId val="35440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395216"/>
        <c:crosses val="autoZero"/>
        <c:auto val="1"/>
        <c:lblAlgn val="ctr"/>
        <c:lblOffset val="100"/>
        <c:noMultiLvlLbl val="0"/>
      </c:catAx>
      <c:valAx>
        <c:axId val="35439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40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Asset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pattFill prst="ltUpDiag">
              <a:fgClr>
                <a:schemeClr val="accent3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'Balance Sheet'!$B$7:$B$18</c:f>
              <c:strCache>
                <c:ptCount val="12"/>
                <c:pt idx="0">
                  <c:v>Bank of Brisbane</c:v>
                </c:pt>
                <c:pt idx="1">
                  <c:v>Closing Inventory</c:v>
                </c:pt>
                <c:pt idx="2">
                  <c:v>Burlap - Tops</c:v>
                </c:pt>
                <c:pt idx="3">
                  <c:v>Burlap  - Dresses</c:v>
                </c:pt>
                <c:pt idx="4">
                  <c:v>Burlap  - Sweaters</c:v>
                </c:pt>
                <c:pt idx="5">
                  <c:v>Burlap - Apparel</c:v>
                </c:pt>
                <c:pt idx="6">
                  <c:v>Burlap  - Swimwear</c:v>
                </c:pt>
                <c:pt idx="7">
                  <c:v>Burlap - Accessories</c:v>
                </c:pt>
                <c:pt idx="9">
                  <c:v>Accounts Receivable (M&amp;H)</c:v>
                </c:pt>
                <c:pt idx="10">
                  <c:v>Fixed Assets</c:v>
                </c:pt>
                <c:pt idx="11">
                  <c:v>Accumulated Depreciation</c:v>
                </c:pt>
              </c:strCache>
            </c:strRef>
          </c:cat>
          <c:val>
            <c:numRef>
              <c:f>'Balance Sheet'!$F$7:$F$18</c:f>
              <c:numCache>
                <c:formatCode>General</c:formatCode>
                <c:ptCount val="12"/>
                <c:pt idx="2" formatCode="_-&quot;$&quot;* #,##0.00_-;\-&quot;$&quot;* #,##0.00_-;_-&quot;$&quot;* &quot;-&quot;??_-;_-@_-">
                  <c:v>2901</c:v>
                </c:pt>
                <c:pt idx="3" formatCode="_-&quot;$&quot;* #,##0.00_-;\-&quot;$&quot;* #,##0.00_-;_-&quot;$&quot;* &quot;-&quot;??_-;_-@_-">
                  <c:v>4621.0000000000009</c:v>
                </c:pt>
                <c:pt idx="4" formatCode="_-&quot;$&quot;* #,##0.00_-;\-&quot;$&quot;* #,##0.00_-;_-&quot;$&quot;* &quot;-&quot;??_-;_-@_-">
                  <c:v>1067.9999999999982</c:v>
                </c:pt>
                <c:pt idx="5" formatCode="_-&quot;$&quot;* #,##0.00_-;\-&quot;$&quot;* #,##0.00_-;_-&quot;$&quot;* &quot;-&quot;??_-;_-@_-">
                  <c:v>3100</c:v>
                </c:pt>
                <c:pt idx="6" formatCode="_-&quot;$&quot;* #,##0.00_-;\-&quot;$&quot;* #,##0.00_-;_-&quot;$&quot;* &quot;-&quot;??_-;_-@_-">
                  <c:v>22</c:v>
                </c:pt>
                <c:pt idx="7" formatCode="_-&quot;$&quot;* #,##0.00_-;\-&quot;$&quot;* #,##0.00_-;_-&quot;$&quot;* &quot;-&quot;??_-;_-@_-">
                  <c:v>2092.9999999999991</c:v>
                </c:pt>
                <c:pt idx="10" formatCode="_-&quot;$&quot;* #,##0.00_-;\-&quot;$&quot;* #,##0.00_-;_-&quot;$&quot;* &quot;-&quot;??_-;_-@_-">
                  <c:v>25940</c:v>
                </c:pt>
                <c:pt idx="11" formatCode="&quot;$&quot;#,##0.00;\(&quot;$&quot;#,##0.00\)">
                  <c:v>-3483.1428571428573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6-4311-BE2B-25CF1561D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720112304"/>
        <c:axId val="7201143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pattFill prst="ltUpDiag">
                    <a:fgClr>
                      <a:schemeClr val="accent1"/>
                    </a:fgClr>
                    <a:bgClr>
                      <a:schemeClr val="lt1"/>
                    </a:bgClr>
                  </a:patt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'Balance Sheet'!$B$7:$B$18</c15:sqref>
                        </c15:formulaRef>
                      </c:ext>
                    </c:extLst>
                    <c:strCache>
                      <c:ptCount val="12"/>
                      <c:pt idx="0">
                        <c:v>Bank of Brisbane</c:v>
                      </c:pt>
                      <c:pt idx="1">
                        <c:v>Closing Inventory</c:v>
                      </c:pt>
                      <c:pt idx="2">
                        <c:v>Burlap - Tops</c:v>
                      </c:pt>
                      <c:pt idx="3">
                        <c:v>Burlap  - Dresses</c:v>
                      </c:pt>
                      <c:pt idx="4">
                        <c:v>Burlap  - Sweaters</c:v>
                      </c:pt>
                      <c:pt idx="5">
                        <c:v>Burlap - Apparel</c:v>
                      </c:pt>
                      <c:pt idx="6">
                        <c:v>Burlap  - Swimwear</c:v>
                      </c:pt>
                      <c:pt idx="7">
                        <c:v>Burlap - Accessories</c:v>
                      </c:pt>
                      <c:pt idx="9">
                        <c:v>Accounts Receivable (M&amp;H)</c:v>
                      </c:pt>
                      <c:pt idx="10">
                        <c:v>Fixed Assets</c:v>
                      </c:pt>
                      <c:pt idx="11">
                        <c:v>Accumulated Depreciation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'Balance Sheet'!$D$7:$D$18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966-4311-BE2B-25CF1561DFC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pattFill prst="ltUpDiag">
                    <a:fgClr>
                      <a:schemeClr val="accent2"/>
                    </a:fgClr>
                    <a:bgClr>
                      <a:schemeClr val="lt1"/>
                    </a:bgClr>
                  </a:patt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'Balance Sheet'!$B$7:$B$18</c15:sqref>
                        </c15:formulaRef>
                      </c:ext>
                    </c:extLst>
                    <c:strCache>
                      <c:ptCount val="12"/>
                      <c:pt idx="0">
                        <c:v>Bank of Brisbane</c:v>
                      </c:pt>
                      <c:pt idx="1">
                        <c:v>Closing Inventory</c:v>
                      </c:pt>
                      <c:pt idx="2">
                        <c:v>Burlap - Tops</c:v>
                      </c:pt>
                      <c:pt idx="3">
                        <c:v>Burlap  - Dresses</c:v>
                      </c:pt>
                      <c:pt idx="4">
                        <c:v>Burlap  - Sweaters</c:v>
                      </c:pt>
                      <c:pt idx="5">
                        <c:v>Burlap - Apparel</c:v>
                      </c:pt>
                      <c:pt idx="6">
                        <c:v>Burlap  - Swimwear</c:v>
                      </c:pt>
                      <c:pt idx="7">
                        <c:v>Burlap - Accessories</c:v>
                      </c:pt>
                      <c:pt idx="9">
                        <c:v>Accounts Receivable (M&amp;H)</c:v>
                      </c:pt>
                      <c:pt idx="10">
                        <c:v>Fixed Assets</c:v>
                      </c:pt>
                      <c:pt idx="11">
                        <c:v>Accumulated Depreciation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'Balance Sheet'!$E$7:$E$18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66-4311-BE2B-25CF1561DFC2}"/>
                  </c:ext>
                </c:extLst>
              </c15:ser>
            </c15:filteredBarSeries>
          </c:ext>
        </c:extLst>
      </c:barChart>
      <c:catAx>
        <c:axId val="72011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114384"/>
        <c:crosses val="autoZero"/>
        <c:auto val="1"/>
        <c:lblAlgn val="ctr"/>
        <c:lblOffset val="100"/>
        <c:noMultiLvlLbl val="0"/>
      </c:catAx>
      <c:valAx>
        <c:axId val="720114384"/>
        <c:scaling>
          <c:orientation val="minMax"/>
          <c:max val="400000"/>
          <c:min val="-5000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112304"/>
        <c:crosses val="autoZero"/>
        <c:crossBetween val="between"/>
        <c:majorUnit val="100000"/>
        <c:minorUnit val="2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3EED526-3FB5-4E10-A95F-4A7C1F0E9430}" type="doc">
      <dgm:prSet loTypeId="urn:microsoft.com/office/officeart/2005/8/layout/process1" loCatId="process" qsTypeId="urn:microsoft.com/office/officeart/2005/8/quickstyle/simple1" qsCatId="simple" csTypeId="urn:microsoft.com/office/officeart/2005/8/colors/accent1_2" csCatId="accent1" phldr="1"/>
      <dgm:spPr/>
    </dgm:pt>
    <dgm:pt modelId="{6FB37751-EF7E-4429-8567-44E747A533AF}">
      <dgm:prSet phldrT="[Text]"/>
      <dgm:spPr/>
      <dgm:t>
        <a:bodyPr/>
        <a:lstStyle/>
        <a:p>
          <a:r>
            <a:rPr lang="en-AU"/>
            <a:t>1. Determine opening cash balance</a:t>
          </a:r>
        </a:p>
      </dgm:t>
    </dgm:pt>
    <dgm:pt modelId="{26247015-B833-48D3-94BF-FF0ECAE5ADEA}" type="parTrans" cxnId="{3BBFE89C-CB59-4BC5-B4C0-F1EE2AA69697}">
      <dgm:prSet/>
      <dgm:spPr/>
      <dgm:t>
        <a:bodyPr/>
        <a:lstStyle/>
        <a:p>
          <a:endParaRPr lang="en-AU"/>
        </a:p>
      </dgm:t>
    </dgm:pt>
    <dgm:pt modelId="{0A816C7A-8DF1-4863-B49D-372F1619569D}" type="sibTrans" cxnId="{3BBFE89C-CB59-4BC5-B4C0-F1EE2AA69697}">
      <dgm:prSet/>
      <dgm:spPr/>
      <dgm:t>
        <a:bodyPr/>
        <a:lstStyle/>
        <a:p>
          <a:endParaRPr lang="en-AU"/>
        </a:p>
      </dgm:t>
    </dgm:pt>
    <dgm:pt modelId="{945F6BF4-C18A-4403-B57A-EFB5AE1F0FD3}">
      <dgm:prSet phldrT="[Text]"/>
      <dgm:spPr/>
      <dgm:t>
        <a:bodyPr/>
        <a:lstStyle/>
        <a:p>
          <a:r>
            <a:rPr lang="en-AU"/>
            <a:t>2. Calculate cash flow from operating activities</a:t>
          </a:r>
        </a:p>
      </dgm:t>
    </dgm:pt>
    <dgm:pt modelId="{950E994F-6DD7-4EC9-80A7-69E562A27719}" type="parTrans" cxnId="{6B025E7C-F03B-4160-AA17-44DDD528427C}">
      <dgm:prSet/>
      <dgm:spPr/>
      <dgm:t>
        <a:bodyPr/>
        <a:lstStyle/>
        <a:p>
          <a:endParaRPr lang="en-AU"/>
        </a:p>
      </dgm:t>
    </dgm:pt>
    <dgm:pt modelId="{5E050095-2215-454C-B976-50F9511066FF}" type="sibTrans" cxnId="{6B025E7C-F03B-4160-AA17-44DDD528427C}">
      <dgm:prSet/>
      <dgm:spPr/>
      <dgm:t>
        <a:bodyPr/>
        <a:lstStyle/>
        <a:p>
          <a:endParaRPr lang="en-AU"/>
        </a:p>
      </dgm:t>
    </dgm:pt>
    <dgm:pt modelId="{9B2F6649-CE49-4712-9A1A-9821D7452D83}">
      <dgm:prSet phldrT="[Text]"/>
      <dgm:spPr/>
      <dgm:t>
        <a:bodyPr/>
        <a:lstStyle/>
        <a:p>
          <a:r>
            <a:rPr lang="en-AU"/>
            <a:t>3. Calculate cash flow from investing activities</a:t>
          </a:r>
        </a:p>
      </dgm:t>
    </dgm:pt>
    <dgm:pt modelId="{2F5FD565-A04F-4BDD-ACF6-0A2D882DA941}" type="parTrans" cxnId="{F0DFB8E7-3733-4585-B853-1413E0DDC72A}">
      <dgm:prSet/>
      <dgm:spPr/>
      <dgm:t>
        <a:bodyPr/>
        <a:lstStyle/>
        <a:p>
          <a:endParaRPr lang="en-AU"/>
        </a:p>
      </dgm:t>
    </dgm:pt>
    <dgm:pt modelId="{725110C9-13BC-4196-A404-0C8920F4E351}" type="sibTrans" cxnId="{F0DFB8E7-3733-4585-B853-1413E0DDC72A}">
      <dgm:prSet/>
      <dgm:spPr/>
      <dgm:t>
        <a:bodyPr/>
        <a:lstStyle/>
        <a:p>
          <a:endParaRPr lang="en-AU"/>
        </a:p>
      </dgm:t>
    </dgm:pt>
    <dgm:pt modelId="{EEA88B26-45C6-4784-ABDF-88FDF8696D33}">
      <dgm:prSet phldrT="[Text]"/>
      <dgm:spPr/>
      <dgm:t>
        <a:bodyPr/>
        <a:lstStyle/>
        <a:p>
          <a:r>
            <a:rPr lang="en-AU"/>
            <a:t>4. Calculate cash flow from Financing</a:t>
          </a:r>
        </a:p>
      </dgm:t>
    </dgm:pt>
    <dgm:pt modelId="{471442E2-46D5-4834-9E5F-506ABAF5A7D3}" type="parTrans" cxnId="{20C7DCBD-A19E-47CD-AE83-827CFD2E1B57}">
      <dgm:prSet/>
      <dgm:spPr/>
      <dgm:t>
        <a:bodyPr/>
        <a:lstStyle/>
        <a:p>
          <a:endParaRPr lang="en-AU"/>
        </a:p>
      </dgm:t>
    </dgm:pt>
    <dgm:pt modelId="{5259AE46-48C8-487D-9483-44FF4AD11B00}" type="sibTrans" cxnId="{20C7DCBD-A19E-47CD-AE83-827CFD2E1B57}">
      <dgm:prSet/>
      <dgm:spPr/>
      <dgm:t>
        <a:bodyPr/>
        <a:lstStyle/>
        <a:p>
          <a:endParaRPr lang="en-AU"/>
        </a:p>
      </dgm:t>
    </dgm:pt>
    <dgm:pt modelId="{2E24D587-3D8E-4DF5-904B-2B3489BA2A6A}">
      <dgm:prSet phldrT="[Text]"/>
      <dgm:spPr/>
      <dgm:t>
        <a:bodyPr/>
        <a:lstStyle/>
        <a:p>
          <a:r>
            <a:rPr lang="en-AU"/>
            <a:t>5. Determine the ending cash balance</a:t>
          </a:r>
        </a:p>
      </dgm:t>
    </dgm:pt>
    <dgm:pt modelId="{18DA086F-4A45-492D-A19B-6FDEB4693D5C}" type="parTrans" cxnId="{9906FC41-4CBC-458D-95BC-4117F0AF797F}">
      <dgm:prSet/>
      <dgm:spPr/>
      <dgm:t>
        <a:bodyPr/>
        <a:lstStyle/>
        <a:p>
          <a:endParaRPr lang="en-AU"/>
        </a:p>
      </dgm:t>
    </dgm:pt>
    <dgm:pt modelId="{B235D59C-8CDE-448B-AC9C-A8410D0CEE1B}" type="sibTrans" cxnId="{9906FC41-4CBC-458D-95BC-4117F0AF797F}">
      <dgm:prSet/>
      <dgm:spPr/>
      <dgm:t>
        <a:bodyPr/>
        <a:lstStyle/>
        <a:p>
          <a:endParaRPr lang="en-AU"/>
        </a:p>
      </dgm:t>
    </dgm:pt>
    <dgm:pt modelId="{411AE8ED-A14C-4BCA-9BEA-FE46DE17367B}" type="pres">
      <dgm:prSet presAssocID="{33EED526-3FB5-4E10-A95F-4A7C1F0E9430}" presName="Name0" presStyleCnt="0">
        <dgm:presLayoutVars>
          <dgm:dir/>
          <dgm:resizeHandles val="exact"/>
        </dgm:presLayoutVars>
      </dgm:prSet>
      <dgm:spPr/>
    </dgm:pt>
    <dgm:pt modelId="{3AAE2F6E-6F23-4ACE-B9A7-0593F0201CE4}" type="pres">
      <dgm:prSet presAssocID="{6FB37751-EF7E-4429-8567-44E747A533AF}" presName="node" presStyleLbl="node1" presStyleIdx="0" presStyleCnt="5">
        <dgm:presLayoutVars>
          <dgm:bulletEnabled val="1"/>
        </dgm:presLayoutVars>
      </dgm:prSet>
      <dgm:spPr/>
    </dgm:pt>
    <dgm:pt modelId="{27FE0AD4-07F1-42EC-A182-CAB01A0DD48D}" type="pres">
      <dgm:prSet presAssocID="{0A816C7A-8DF1-4863-B49D-372F1619569D}" presName="sibTrans" presStyleLbl="sibTrans2D1" presStyleIdx="0" presStyleCnt="4"/>
      <dgm:spPr/>
    </dgm:pt>
    <dgm:pt modelId="{0C171E26-C37A-4763-8D69-0CEFDAA510E0}" type="pres">
      <dgm:prSet presAssocID="{0A816C7A-8DF1-4863-B49D-372F1619569D}" presName="connectorText" presStyleLbl="sibTrans2D1" presStyleIdx="0" presStyleCnt="4"/>
      <dgm:spPr/>
    </dgm:pt>
    <dgm:pt modelId="{DF05BEFF-6C7F-4FB8-A1F6-405E35ECA493}" type="pres">
      <dgm:prSet presAssocID="{945F6BF4-C18A-4403-B57A-EFB5AE1F0FD3}" presName="node" presStyleLbl="node1" presStyleIdx="1" presStyleCnt="5">
        <dgm:presLayoutVars>
          <dgm:bulletEnabled val="1"/>
        </dgm:presLayoutVars>
      </dgm:prSet>
      <dgm:spPr/>
    </dgm:pt>
    <dgm:pt modelId="{A36C2806-7A5F-4EA8-A545-30BCBA80DB64}" type="pres">
      <dgm:prSet presAssocID="{5E050095-2215-454C-B976-50F9511066FF}" presName="sibTrans" presStyleLbl="sibTrans2D1" presStyleIdx="1" presStyleCnt="4"/>
      <dgm:spPr/>
    </dgm:pt>
    <dgm:pt modelId="{3AAC9731-A280-402F-BAC6-684B04128F36}" type="pres">
      <dgm:prSet presAssocID="{5E050095-2215-454C-B976-50F9511066FF}" presName="connectorText" presStyleLbl="sibTrans2D1" presStyleIdx="1" presStyleCnt="4"/>
      <dgm:spPr/>
    </dgm:pt>
    <dgm:pt modelId="{ACCEC798-7CD8-4F70-8761-31A4EE61C5BA}" type="pres">
      <dgm:prSet presAssocID="{9B2F6649-CE49-4712-9A1A-9821D7452D83}" presName="node" presStyleLbl="node1" presStyleIdx="2" presStyleCnt="5">
        <dgm:presLayoutVars>
          <dgm:bulletEnabled val="1"/>
        </dgm:presLayoutVars>
      </dgm:prSet>
      <dgm:spPr/>
    </dgm:pt>
    <dgm:pt modelId="{D5DF23BC-07EF-49ED-BBA1-B11CDD1B029A}" type="pres">
      <dgm:prSet presAssocID="{725110C9-13BC-4196-A404-0C8920F4E351}" presName="sibTrans" presStyleLbl="sibTrans2D1" presStyleIdx="2" presStyleCnt="4"/>
      <dgm:spPr/>
    </dgm:pt>
    <dgm:pt modelId="{E32951DA-01EE-4553-B7A5-A85C127C3D33}" type="pres">
      <dgm:prSet presAssocID="{725110C9-13BC-4196-A404-0C8920F4E351}" presName="connectorText" presStyleLbl="sibTrans2D1" presStyleIdx="2" presStyleCnt="4"/>
      <dgm:spPr/>
    </dgm:pt>
    <dgm:pt modelId="{8DB87E14-79B3-4E62-BCC4-D6B9C37B9870}" type="pres">
      <dgm:prSet presAssocID="{EEA88B26-45C6-4784-ABDF-88FDF8696D33}" presName="node" presStyleLbl="node1" presStyleIdx="3" presStyleCnt="5">
        <dgm:presLayoutVars>
          <dgm:bulletEnabled val="1"/>
        </dgm:presLayoutVars>
      </dgm:prSet>
      <dgm:spPr/>
    </dgm:pt>
    <dgm:pt modelId="{48471EE3-E2E8-49CD-9CD5-5EFC80CA9EB8}" type="pres">
      <dgm:prSet presAssocID="{5259AE46-48C8-487D-9483-44FF4AD11B00}" presName="sibTrans" presStyleLbl="sibTrans2D1" presStyleIdx="3" presStyleCnt="4"/>
      <dgm:spPr/>
    </dgm:pt>
    <dgm:pt modelId="{C15926EF-9133-491D-832F-00662C7E4818}" type="pres">
      <dgm:prSet presAssocID="{5259AE46-48C8-487D-9483-44FF4AD11B00}" presName="connectorText" presStyleLbl="sibTrans2D1" presStyleIdx="3" presStyleCnt="4"/>
      <dgm:spPr/>
    </dgm:pt>
    <dgm:pt modelId="{32C35F99-6A90-4D5D-B80F-CB266CFC0BA8}" type="pres">
      <dgm:prSet presAssocID="{2E24D587-3D8E-4DF5-904B-2B3489BA2A6A}" presName="node" presStyleLbl="node1" presStyleIdx="4" presStyleCnt="5">
        <dgm:presLayoutVars>
          <dgm:bulletEnabled val="1"/>
        </dgm:presLayoutVars>
      </dgm:prSet>
      <dgm:spPr/>
    </dgm:pt>
  </dgm:ptLst>
  <dgm:cxnLst>
    <dgm:cxn modelId="{1E3AB402-8CF3-49F5-984C-9B6F7F968F50}" type="presOf" srcId="{945F6BF4-C18A-4403-B57A-EFB5AE1F0FD3}" destId="{DF05BEFF-6C7F-4FB8-A1F6-405E35ECA493}" srcOrd="0" destOrd="0" presId="urn:microsoft.com/office/officeart/2005/8/layout/process1"/>
    <dgm:cxn modelId="{A206E120-6BA7-4011-97B7-D7895F431833}" type="presOf" srcId="{725110C9-13BC-4196-A404-0C8920F4E351}" destId="{E32951DA-01EE-4553-B7A5-A85C127C3D33}" srcOrd="1" destOrd="0" presId="urn:microsoft.com/office/officeart/2005/8/layout/process1"/>
    <dgm:cxn modelId="{9906FC41-4CBC-458D-95BC-4117F0AF797F}" srcId="{33EED526-3FB5-4E10-A95F-4A7C1F0E9430}" destId="{2E24D587-3D8E-4DF5-904B-2B3489BA2A6A}" srcOrd="4" destOrd="0" parTransId="{18DA086F-4A45-492D-A19B-6FDEB4693D5C}" sibTransId="{B235D59C-8CDE-448B-AC9C-A8410D0CEE1B}"/>
    <dgm:cxn modelId="{3B9EC545-C487-445A-8A41-714F3155DD91}" type="presOf" srcId="{0A816C7A-8DF1-4863-B49D-372F1619569D}" destId="{0C171E26-C37A-4763-8D69-0CEFDAA510E0}" srcOrd="1" destOrd="0" presId="urn:microsoft.com/office/officeart/2005/8/layout/process1"/>
    <dgm:cxn modelId="{6386CD52-D613-4136-B69B-080F3A731666}" type="presOf" srcId="{2E24D587-3D8E-4DF5-904B-2B3489BA2A6A}" destId="{32C35F99-6A90-4D5D-B80F-CB266CFC0BA8}" srcOrd="0" destOrd="0" presId="urn:microsoft.com/office/officeart/2005/8/layout/process1"/>
    <dgm:cxn modelId="{41427354-A5EB-4217-9D1E-BA888D19430A}" type="presOf" srcId="{6FB37751-EF7E-4429-8567-44E747A533AF}" destId="{3AAE2F6E-6F23-4ACE-B9A7-0593F0201CE4}" srcOrd="0" destOrd="0" presId="urn:microsoft.com/office/officeart/2005/8/layout/process1"/>
    <dgm:cxn modelId="{9938CC63-C6F2-4131-AE00-020A2319C1CA}" type="presOf" srcId="{5E050095-2215-454C-B976-50F9511066FF}" destId="{A36C2806-7A5F-4EA8-A545-30BCBA80DB64}" srcOrd="0" destOrd="0" presId="urn:microsoft.com/office/officeart/2005/8/layout/process1"/>
    <dgm:cxn modelId="{6B025E7C-F03B-4160-AA17-44DDD528427C}" srcId="{33EED526-3FB5-4E10-A95F-4A7C1F0E9430}" destId="{945F6BF4-C18A-4403-B57A-EFB5AE1F0FD3}" srcOrd="1" destOrd="0" parTransId="{950E994F-6DD7-4EC9-80A7-69E562A27719}" sibTransId="{5E050095-2215-454C-B976-50F9511066FF}"/>
    <dgm:cxn modelId="{8D9DA683-1373-4CF9-AB0B-64B52446FB3D}" type="presOf" srcId="{5E050095-2215-454C-B976-50F9511066FF}" destId="{3AAC9731-A280-402F-BAC6-684B04128F36}" srcOrd="1" destOrd="0" presId="urn:microsoft.com/office/officeart/2005/8/layout/process1"/>
    <dgm:cxn modelId="{1C873A90-797A-4F4A-BC3A-3C22DB0F9D9C}" type="presOf" srcId="{9B2F6649-CE49-4712-9A1A-9821D7452D83}" destId="{ACCEC798-7CD8-4F70-8761-31A4EE61C5BA}" srcOrd="0" destOrd="0" presId="urn:microsoft.com/office/officeart/2005/8/layout/process1"/>
    <dgm:cxn modelId="{3BBFE89C-CB59-4BC5-B4C0-F1EE2AA69697}" srcId="{33EED526-3FB5-4E10-A95F-4A7C1F0E9430}" destId="{6FB37751-EF7E-4429-8567-44E747A533AF}" srcOrd="0" destOrd="0" parTransId="{26247015-B833-48D3-94BF-FF0ECAE5ADEA}" sibTransId="{0A816C7A-8DF1-4863-B49D-372F1619569D}"/>
    <dgm:cxn modelId="{8CE960AD-D078-408D-A17E-F393BFEC253E}" type="presOf" srcId="{725110C9-13BC-4196-A404-0C8920F4E351}" destId="{D5DF23BC-07EF-49ED-BBA1-B11CDD1B029A}" srcOrd="0" destOrd="0" presId="urn:microsoft.com/office/officeart/2005/8/layout/process1"/>
    <dgm:cxn modelId="{115647B1-A3D6-43F9-83DA-6E01A5313C78}" type="presOf" srcId="{0A816C7A-8DF1-4863-B49D-372F1619569D}" destId="{27FE0AD4-07F1-42EC-A182-CAB01A0DD48D}" srcOrd="0" destOrd="0" presId="urn:microsoft.com/office/officeart/2005/8/layout/process1"/>
    <dgm:cxn modelId="{D7E4C3B5-88C5-43EE-9325-F6EDC172CF7D}" type="presOf" srcId="{5259AE46-48C8-487D-9483-44FF4AD11B00}" destId="{C15926EF-9133-491D-832F-00662C7E4818}" srcOrd="1" destOrd="0" presId="urn:microsoft.com/office/officeart/2005/8/layout/process1"/>
    <dgm:cxn modelId="{20C7DCBD-A19E-47CD-AE83-827CFD2E1B57}" srcId="{33EED526-3FB5-4E10-A95F-4A7C1F0E9430}" destId="{EEA88B26-45C6-4784-ABDF-88FDF8696D33}" srcOrd="3" destOrd="0" parTransId="{471442E2-46D5-4834-9E5F-506ABAF5A7D3}" sibTransId="{5259AE46-48C8-487D-9483-44FF4AD11B00}"/>
    <dgm:cxn modelId="{C45D2FE3-4B63-4FE6-BB3D-0CEB1EA567C6}" type="presOf" srcId="{33EED526-3FB5-4E10-A95F-4A7C1F0E9430}" destId="{411AE8ED-A14C-4BCA-9BEA-FE46DE17367B}" srcOrd="0" destOrd="0" presId="urn:microsoft.com/office/officeart/2005/8/layout/process1"/>
    <dgm:cxn modelId="{F0DFB8E7-3733-4585-B853-1413E0DDC72A}" srcId="{33EED526-3FB5-4E10-A95F-4A7C1F0E9430}" destId="{9B2F6649-CE49-4712-9A1A-9821D7452D83}" srcOrd="2" destOrd="0" parTransId="{2F5FD565-A04F-4BDD-ACF6-0A2D882DA941}" sibTransId="{725110C9-13BC-4196-A404-0C8920F4E351}"/>
    <dgm:cxn modelId="{E47421EC-7F7B-4AB3-9A96-42A763931FD3}" type="presOf" srcId="{EEA88B26-45C6-4784-ABDF-88FDF8696D33}" destId="{8DB87E14-79B3-4E62-BCC4-D6B9C37B9870}" srcOrd="0" destOrd="0" presId="urn:microsoft.com/office/officeart/2005/8/layout/process1"/>
    <dgm:cxn modelId="{6F03DDEF-E28A-41D9-8290-9CF4E2405EE6}" type="presOf" srcId="{5259AE46-48C8-487D-9483-44FF4AD11B00}" destId="{48471EE3-E2E8-49CD-9CD5-5EFC80CA9EB8}" srcOrd="0" destOrd="0" presId="urn:microsoft.com/office/officeart/2005/8/layout/process1"/>
    <dgm:cxn modelId="{5D3235E5-5244-4396-92A2-B5B6DA78BF23}" type="presParOf" srcId="{411AE8ED-A14C-4BCA-9BEA-FE46DE17367B}" destId="{3AAE2F6E-6F23-4ACE-B9A7-0593F0201CE4}" srcOrd="0" destOrd="0" presId="urn:microsoft.com/office/officeart/2005/8/layout/process1"/>
    <dgm:cxn modelId="{FE522C68-B0C4-4897-8CEE-F26F4FBF766C}" type="presParOf" srcId="{411AE8ED-A14C-4BCA-9BEA-FE46DE17367B}" destId="{27FE0AD4-07F1-42EC-A182-CAB01A0DD48D}" srcOrd="1" destOrd="0" presId="urn:microsoft.com/office/officeart/2005/8/layout/process1"/>
    <dgm:cxn modelId="{301B323F-403C-479F-B5F0-0A5E73A85931}" type="presParOf" srcId="{27FE0AD4-07F1-42EC-A182-CAB01A0DD48D}" destId="{0C171E26-C37A-4763-8D69-0CEFDAA510E0}" srcOrd="0" destOrd="0" presId="urn:microsoft.com/office/officeart/2005/8/layout/process1"/>
    <dgm:cxn modelId="{0A5FDB20-58CF-4E85-B06D-B4B55C40ACC8}" type="presParOf" srcId="{411AE8ED-A14C-4BCA-9BEA-FE46DE17367B}" destId="{DF05BEFF-6C7F-4FB8-A1F6-405E35ECA493}" srcOrd="2" destOrd="0" presId="urn:microsoft.com/office/officeart/2005/8/layout/process1"/>
    <dgm:cxn modelId="{5E474C7A-C07F-44C5-994F-1E4B4CD65430}" type="presParOf" srcId="{411AE8ED-A14C-4BCA-9BEA-FE46DE17367B}" destId="{A36C2806-7A5F-4EA8-A545-30BCBA80DB64}" srcOrd="3" destOrd="0" presId="urn:microsoft.com/office/officeart/2005/8/layout/process1"/>
    <dgm:cxn modelId="{0040A301-F4A6-4B38-A5B6-EE64E08A9CA0}" type="presParOf" srcId="{A36C2806-7A5F-4EA8-A545-30BCBA80DB64}" destId="{3AAC9731-A280-402F-BAC6-684B04128F36}" srcOrd="0" destOrd="0" presId="urn:microsoft.com/office/officeart/2005/8/layout/process1"/>
    <dgm:cxn modelId="{49D53619-50E0-46AE-A139-F0262A5F55E5}" type="presParOf" srcId="{411AE8ED-A14C-4BCA-9BEA-FE46DE17367B}" destId="{ACCEC798-7CD8-4F70-8761-31A4EE61C5BA}" srcOrd="4" destOrd="0" presId="urn:microsoft.com/office/officeart/2005/8/layout/process1"/>
    <dgm:cxn modelId="{B884B75B-2AD2-442A-826B-A9FCC3CB5674}" type="presParOf" srcId="{411AE8ED-A14C-4BCA-9BEA-FE46DE17367B}" destId="{D5DF23BC-07EF-49ED-BBA1-B11CDD1B029A}" srcOrd="5" destOrd="0" presId="urn:microsoft.com/office/officeart/2005/8/layout/process1"/>
    <dgm:cxn modelId="{B0F08B23-CB95-408B-A53A-0E3147852839}" type="presParOf" srcId="{D5DF23BC-07EF-49ED-BBA1-B11CDD1B029A}" destId="{E32951DA-01EE-4553-B7A5-A85C127C3D33}" srcOrd="0" destOrd="0" presId="urn:microsoft.com/office/officeart/2005/8/layout/process1"/>
    <dgm:cxn modelId="{51D985CF-403F-4AEA-8706-7C3DD985E115}" type="presParOf" srcId="{411AE8ED-A14C-4BCA-9BEA-FE46DE17367B}" destId="{8DB87E14-79B3-4E62-BCC4-D6B9C37B9870}" srcOrd="6" destOrd="0" presId="urn:microsoft.com/office/officeart/2005/8/layout/process1"/>
    <dgm:cxn modelId="{38C4983D-E795-409B-BC54-7BDABE1C2675}" type="presParOf" srcId="{411AE8ED-A14C-4BCA-9BEA-FE46DE17367B}" destId="{48471EE3-E2E8-49CD-9CD5-5EFC80CA9EB8}" srcOrd="7" destOrd="0" presId="urn:microsoft.com/office/officeart/2005/8/layout/process1"/>
    <dgm:cxn modelId="{76DFE7B5-7ED6-49F0-A1A3-3CCE4D738682}" type="presParOf" srcId="{48471EE3-E2E8-49CD-9CD5-5EFC80CA9EB8}" destId="{C15926EF-9133-491D-832F-00662C7E4818}" srcOrd="0" destOrd="0" presId="urn:microsoft.com/office/officeart/2005/8/layout/process1"/>
    <dgm:cxn modelId="{5C01C3DF-6333-41CC-831B-A513028A0015}" type="presParOf" srcId="{411AE8ED-A14C-4BCA-9BEA-FE46DE17367B}" destId="{32C35F99-6A90-4D5D-B80F-CB266CFC0BA8}" srcOrd="8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AAE2F6E-6F23-4ACE-B9A7-0593F0201CE4}">
      <dsp:nvSpPr>
        <dsp:cNvPr id="0" name=""/>
        <dsp:cNvSpPr/>
      </dsp:nvSpPr>
      <dsp:spPr>
        <a:xfrm>
          <a:off x="4215" y="572284"/>
          <a:ext cx="1306822" cy="148242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1. Determine opening cash balance</a:t>
          </a:r>
        </a:p>
      </dsp:txBody>
      <dsp:txXfrm>
        <a:off x="42491" y="610560"/>
        <a:ext cx="1230270" cy="1405874"/>
      </dsp:txXfrm>
    </dsp:sp>
    <dsp:sp modelId="{27FE0AD4-07F1-42EC-A182-CAB01A0DD48D}">
      <dsp:nvSpPr>
        <dsp:cNvPr id="0" name=""/>
        <dsp:cNvSpPr/>
      </dsp:nvSpPr>
      <dsp:spPr>
        <a:xfrm>
          <a:off x="1441720" y="1151451"/>
          <a:ext cx="277046" cy="324091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U" sz="1300" kern="1200"/>
        </a:p>
      </dsp:txBody>
      <dsp:txXfrm>
        <a:off x="1441720" y="1216269"/>
        <a:ext cx="193932" cy="194455"/>
      </dsp:txXfrm>
    </dsp:sp>
    <dsp:sp modelId="{DF05BEFF-6C7F-4FB8-A1F6-405E35ECA493}">
      <dsp:nvSpPr>
        <dsp:cNvPr id="0" name=""/>
        <dsp:cNvSpPr/>
      </dsp:nvSpPr>
      <dsp:spPr>
        <a:xfrm>
          <a:off x="1833767" y="572284"/>
          <a:ext cx="1306822" cy="148242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2. Calculate cash flow from operating activities</a:t>
          </a:r>
        </a:p>
      </dsp:txBody>
      <dsp:txXfrm>
        <a:off x="1872043" y="610560"/>
        <a:ext cx="1230270" cy="1405874"/>
      </dsp:txXfrm>
    </dsp:sp>
    <dsp:sp modelId="{A36C2806-7A5F-4EA8-A545-30BCBA80DB64}">
      <dsp:nvSpPr>
        <dsp:cNvPr id="0" name=""/>
        <dsp:cNvSpPr/>
      </dsp:nvSpPr>
      <dsp:spPr>
        <a:xfrm>
          <a:off x="3271271" y="1151451"/>
          <a:ext cx="277046" cy="324091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U" sz="1300" kern="1200"/>
        </a:p>
      </dsp:txBody>
      <dsp:txXfrm>
        <a:off x="3271271" y="1216269"/>
        <a:ext cx="193932" cy="194455"/>
      </dsp:txXfrm>
    </dsp:sp>
    <dsp:sp modelId="{ACCEC798-7CD8-4F70-8761-31A4EE61C5BA}">
      <dsp:nvSpPr>
        <dsp:cNvPr id="0" name=""/>
        <dsp:cNvSpPr/>
      </dsp:nvSpPr>
      <dsp:spPr>
        <a:xfrm>
          <a:off x="3663318" y="572284"/>
          <a:ext cx="1306822" cy="148242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3. Calculate cash flow from investing activities</a:t>
          </a:r>
        </a:p>
      </dsp:txBody>
      <dsp:txXfrm>
        <a:off x="3701594" y="610560"/>
        <a:ext cx="1230270" cy="1405874"/>
      </dsp:txXfrm>
    </dsp:sp>
    <dsp:sp modelId="{D5DF23BC-07EF-49ED-BBA1-B11CDD1B029A}">
      <dsp:nvSpPr>
        <dsp:cNvPr id="0" name=""/>
        <dsp:cNvSpPr/>
      </dsp:nvSpPr>
      <dsp:spPr>
        <a:xfrm>
          <a:off x="5100823" y="1151451"/>
          <a:ext cx="277046" cy="324091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U" sz="1300" kern="1200"/>
        </a:p>
      </dsp:txBody>
      <dsp:txXfrm>
        <a:off x="5100823" y="1216269"/>
        <a:ext cx="193932" cy="194455"/>
      </dsp:txXfrm>
    </dsp:sp>
    <dsp:sp modelId="{8DB87E14-79B3-4E62-BCC4-D6B9C37B9870}">
      <dsp:nvSpPr>
        <dsp:cNvPr id="0" name=""/>
        <dsp:cNvSpPr/>
      </dsp:nvSpPr>
      <dsp:spPr>
        <a:xfrm>
          <a:off x="5492870" y="572284"/>
          <a:ext cx="1306822" cy="148242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4. Calculate cash flow from Financing</a:t>
          </a:r>
        </a:p>
      </dsp:txBody>
      <dsp:txXfrm>
        <a:off x="5531146" y="610560"/>
        <a:ext cx="1230270" cy="1405874"/>
      </dsp:txXfrm>
    </dsp:sp>
    <dsp:sp modelId="{48471EE3-E2E8-49CD-9CD5-5EFC80CA9EB8}">
      <dsp:nvSpPr>
        <dsp:cNvPr id="0" name=""/>
        <dsp:cNvSpPr/>
      </dsp:nvSpPr>
      <dsp:spPr>
        <a:xfrm>
          <a:off x="6930375" y="1151451"/>
          <a:ext cx="277046" cy="324091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U" sz="1300" kern="1200"/>
        </a:p>
      </dsp:txBody>
      <dsp:txXfrm>
        <a:off x="6930375" y="1216269"/>
        <a:ext cx="193932" cy="194455"/>
      </dsp:txXfrm>
    </dsp:sp>
    <dsp:sp modelId="{32C35F99-6A90-4D5D-B80F-CB266CFC0BA8}">
      <dsp:nvSpPr>
        <dsp:cNvPr id="0" name=""/>
        <dsp:cNvSpPr/>
      </dsp:nvSpPr>
      <dsp:spPr>
        <a:xfrm>
          <a:off x="7322421" y="572284"/>
          <a:ext cx="1306822" cy="148242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8580" tIns="68580" rIns="68580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AU" sz="1800" kern="1200"/>
            <a:t>5. Determine the ending cash balance</a:t>
          </a:r>
        </a:p>
      </dsp:txBody>
      <dsp:txXfrm>
        <a:off x="7360697" y="610560"/>
        <a:ext cx="1230270" cy="140587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358140</xdr:colOff>
      <xdr:row>5</xdr:row>
      <xdr:rowOff>60959</xdr:rowOff>
    </xdr:from>
    <xdr:to>
      <xdr:col>9</xdr:col>
      <xdr:colOff>76200</xdr:colOff>
      <xdr:row>28</xdr:row>
      <xdr:rowOff>139364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3DB60ACF-5BDB-ECC9-883A-E1AD384AC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340" y="1165859"/>
          <a:ext cx="3985260" cy="4240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</xdr:row>
      <xdr:rowOff>167640</xdr:rowOff>
    </xdr:from>
    <xdr:to>
      <xdr:col>6</xdr:col>
      <xdr:colOff>320040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3271C0-F062-AC3D-B8B1-2F66428FB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121920</xdr:colOff>
      <xdr:row>2</xdr:row>
      <xdr:rowOff>129540</xdr:rowOff>
    </xdr:from>
    <xdr:to>
      <xdr:col>13</xdr:col>
      <xdr:colOff>190500</xdr:colOff>
      <xdr:row>17</xdr:row>
      <xdr:rowOff>129540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C13823-5F6C-490F-9C7A-4F9657398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548640</xdr:colOff>
      <xdr:row>2</xdr:row>
      <xdr:rowOff>91440</xdr:rowOff>
    </xdr:from>
    <xdr:to>
      <xdr:col>21</xdr:col>
      <xdr:colOff>243840</xdr:colOff>
      <xdr:row>17</xdr:row>
      <xdr:rowOff>91440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B79FC3-3700-44A8-8181-493633B3B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</xdr:colOff>
      <xdr:row>2</xdr:row>
      <xdr:rowOff>62865</xdr:rowOff>
    </xdr:from>
    <xdr:to>
      <xdr:col>15</xdr:col>
      <xdr:colOff>285750</xdr:colOff>
      <xdr:row>17</xdr:row>
      <xdr:rowOff>15240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DD8C84-80EF-4BDD-A5A1-A1A6DC697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5FEEC-5C3C-4560-8F2F-021D784F1F31}">
  <dimension ref="A2:N30"/>
  <sheetViews>
    <sheetView tabSelected="1" workbookViewId="0">
      <selection activeCell="G37" sqref="G37"/>
    </sheetView>
  </sheetViews>
  <sheetFormatPr defaultColWidth="8.85546875" defaultRowHeight="15"/>
  <cols>
    <col min="1" max="16384" width="8.85546875" style="1"/>
  </cols>
  <sheetData>
    <row r="2" spans="1:11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4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1" ht="21">
      <c r="A4" s="4"/>
      <c r="B4" s="8"/>
      <c r="C4" s="91" t="s">
        <v>0</v>
      </c>
      <c r="D4" s="92"/>
      <c r="E4" s="92"/>
      <c r="F4" s="92"/>
      <c r="G4" s="92"/>
      <c r="H4" s="92"/>
      <c r="I4" s="92"/>
      <c r="J4" s="93"/>
      <c r="K4" s="9"/>
    </row>
    <row r="5" spans="1:11" ht="24">
      <c r="A5" s="4"/>
      <c r="B5" s="8"/>
      <c r="C5" s="94" t="s">
        <v>1</v>
      </c>
      <c r="D5" s="95"/>
      <c r="E5" s="95"/>
      <c r="F5" s="95"/>
      <c r="G5" s="95"/>
      <c r="H5" s="95"/>
      <c r="I5" s="95"/>
      <c r="J5" s="96"/>
      <c r="K5" s="9"/>
    </row>
    <row r="6" spans="1:11">
      <c r="A6" s="4"/>
      <c r="B6" s="8"/>
      <c r="K6" s="9"/>
    </row>
    <row r="7" spans="1:11">
      <c r="A7" s="4"/>
      <c r="B7" s="8"/>
      <c r="K7" s="9"/>
    </row>
    <row r="8" spans="1:11">
      <c r="A8" s="4"/>
      <c r="B8" s="8"/>
      <c r="K8" s="9"/>
    </row>
    <row r="9" spans="1:11">
      <c r="A9" s="4"/>
      <c r="B9" s="8"/>
      <c r="K9" s="9"/>
    </row>
    <row r="10" spans="1:11">
      <c r="A10" s="4"/>
      <c r="B10" s="8"/>
      <c r="K10" s="9"/>
    </row>
    <row r="11" spans="1:11">
      <c r="A11" s="4"/>
      <c r="B11" s="8"/>
      <c r="K11" s="9"/>
    </row>
    <row r="12" spans="1:11">
      <c r="A12" s="4"/>
      <c r="B12" s="8"/>
      <c r="K12" s="9"/>
    </row>
    <row r="13" spans="1:11">
      <c r="A13" s="4"/>
      <c r="B13" s="8"/>
      <c r="K13" s="9"/>
    </row>
    <row r="14" spans="1:11">
      <c r="A14" s="4"/>
      <c r="B14" s="8"/>
      <c r="K14" s="9"/>
    </row>
    <row r="15" spans="1:11">
      <c r="A15" s="4"/>
      <c r="B15" s="8"/>
      <c r="K15" s="9"/>
    </row>
    <row r="16" spans="1:11">
      <c r="A16" s="4"/>
      <c r="B16" s="8"/>
      <c r="K16" s="9"/>
    </row>
    <row r="17" spans="1:14">
      <c r="A17" s="4"/>
      <c r="B17" s="8"/>
      <c r="K17" s="9"/>
    </row>
    <row r="18" spans="1:14">
      <c r="A18" s="4"/>
      <c r="B18" s="8"/>
      <c r="K18" s="9"/>
    </row>
    <row r="19" spans="1:14">
      <c r="A19" s="4"/>
      <c r="B19" s="8"/>
      <c r="K19" s="9"/>
    </row>
    <row r="20" spans="1:14">
      <c r="A20" s="4"/>
      <c r="B20" s="8"/>
      <c r="K20" s="9"/>
    </row>
    <row r="21" spans="1:14">
      <c r="A21" s="4"/>
      <c r="B21" s="8"/>
      <c r="K21" s="9"/>
    </row>
    <row r="22" spans="1:14">
      <c r="A22" s="4"/>
      <c r="B22" s="8"/>
      <c r="K22" s="9"/>
    </row>
    <row r="23" spans="1:14">
      <c r="A23" s="4"/>
      <c r="B23" s="8"/>
      <c r="K23" s="9"/>
    </row>
    <row r="24" spans="1:14">
      <c r="A24" s="4"/>
      <c r="B24" s="8"/>
      <c r="K24" s="9"/>
    </row>
    <row r="25" spans="1:14">
      <c r="A25" s="4"/>
      <c r="B25" s="8"/>
      <c r="K25" s="9"/>
    </row>
    <row r="26" spans="1:14">
      <c r="A26" s="4"/>
      <c r="B26" s="8"/>
      <c r="K26" s="9"/>
    </row>
    <row r="27" spans="1:14">
      <c r="A27" s="4"/>
      <c r="B27" s="8"/>
      <c r="K27" s="9"/>
    </row>
    <row r="28" spans="1:14">
      <c r="A28" s="4"/>
      <c r="B28" s="8"/>
      <c r="K28" s="9"/>
      <c r="N28" s="13"/>
    </row>
    <row r="29" spans="1:14">
      <c r="A29" s="4"/>
      <c r="B29" s="8"/>
      <c r="K29" s="9"/>
    </row>
    <row r="30" spans="1:14">
      <c r="A30" s="4"/>
      <c r="B30" s="10"/>
      <c r="C30" s="11"/>
      <c r="D30" s="11"/>
      <c r="E30" s="11"/>
      <c r="F30" s="11"/>
      <c r="G30" s="11"/>
      <c r="H30" s="11"/>
      <c r="I30" s="11"/>
      <c r="J30" s="11"/>
      <c r="K30" s="12"/>
    </row>
  </sheetData>
  <mergeCells count="2">
    <mergeCell ref="C4:J4"/>
    <mergeCell ref="C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35FB-CF12-4AC7-AEF0-1388C9AD933B}">
  <dimension ref="A1:L30"/>
  <sheetViews>
    <sheetView workbookViewId="0">
      <selection activeCell="B7" sqref="B7:K17"/>
    </sheetView>
  </sheetViews>
  <sheetFormatPr defaultColWidth="8.85546875" defaultRowHeight="14.1"/>
  <cols>
    <col min="1" max="2" width="8.85546875" style="13"/>
    <col min="3" max="3" width="28.140625" style="13" customWidth="1"/>
    <col min="4" max="4" width="13.140625" style="13" customWidth="1"/>
    <col min="5" max="6" width="10.28515625" style="13" customWidth="1"/>
    <col min="7" max="7" width="31.85546875" style="13" customWidth="1"/>
    <col min="8" max="8" width="17.28515625" style="13" customWidth="1"/>
    <col min="9" max="10" width="19.28515625" style="13" customWidth="1"/>
    <col min="11" max="11" width="11.7109375" style="13" customWidth="1"/>
    <col min="12" max="16384" width="8.85546875" style="13"/>
  </cols>
  <sheetData>
    <row r="1" spans="1:12"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15.95">
      <c r="A2" s="15"/>
      <c r="B2" s="97" t="s">
        <v>2</v>
      </c>
      <c r="C2" s="98"/>
      <c r="D2" s="98"/>
      <c r="E2" s="98"/>
      <c r="F2" s="98"/>
      <c r="G2" s="98"/>
      <c r="H2" s="98"/>
      <c r="I2" s="98"/>
      <c r="J2" s="98"/>
      <c r="K2" s="99"/>
      <c r="L2" s="16"/>
    </row>
    <row r="3" spans="1:12" ht="15.95">
      <c r="A3" s="15"/>
      <c r="B3" s="100" t="s">
        <v>3</v>
      </c>
      <c r="C3" s="101"/>
      <c r="D3" s="101"/>
      <c r="E3" s="101"/>
      <c r="F3" s="101"/>
      <c r="G3" s="101"/>
      <c r="H3" s="101"/>
      <c r="I3" s="101"/>
      <c r="J3" s="101"/>
      <c r="K3" s="102"/>
      <c r="L3" s="16"/>
    </row>
    <row r="4" spans="1:12" ht="15.95">
      <c r="A4" s="15"/>
      <c r="B4" s="103">
        <v>44742</v>
      </c>
      <c r="C4" s="104"/>
      <c r="D4" s="104"/>
      <c r="E4" s="104"/>
      <c r="F4" s="104"/>
      <c r="G4" s="104"/>
      <c r="H4" s="104"/>
      <c r="I4" s="104"/>
      <c r="J4" s="104"/>
      <c r="K4" s="105"/>
      <c r="L4" s="16"/>
    </row>
    <row r="5" spans="1:12"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2" ht="45">
      <c r="A6" s="15"/>
      <c r="B6" s="18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6"/>
    </row>
    <row r="7" spans="1:12">
      <c r="B7" s="19" t="s">
        <v>14</v>
      </c>
      <c r="C7" s="20" t="s">
        <v>15</v>
      </c>
      <c r="D7" s="21">
        <v>470</v>
      </c>
      <c r="E7" s="22">
        <v>44013</v>
      </c>
      <c r="F7" s="23">
        <v>5</v>
      </c>
      <c r="G7" s="23" t="s">
        <v>16</v>
      </c>
      <c r="H7" s="24">
        <f>D7/F7</f>
        <v>94</v>
      </c>
      <c r="I7" s="24">
        <f>H7*2</f>
        <v>188</v>
      </c>
      <c r="J7" s="24">
        <f>D7-I7</f>
        <v>282</v>
      </c>
      <c r="K7" s="25">
        <f>D7*0.05</f>
        <v>23.5</v>
      </c>
    </row>
    <row r="8" spans="1:12">
      <c r="B8" s="26" t="s">
        <v>17</v>
      </c>
      <c r="C8" s="27" t="s">
        <v>15</v>
      </c>
      <c r="D8" s="28">
        <v>470</v>
      </c>
      <c r="E8" s="29">
        <v>44013</v>
      </c>
      <c r="F8" s="30">
        <v>5</v>
      </c>
      <c r="G8" s="30" t="s">
        <v>16</v>
      </c>
      <c r="H8" s="31">
        <f t="shared" ref="H8:H17" si="0">D8/F8</f>
        <v>94</v>
      </c>
      <c r="I8" s="31">
        <f>H8*2</f>
        <v>188</v>
      </c>
      <c r="J8" s="31">
        <f t="shared" ref="J8:J17" si="1">D8-I8</f>
        <v>282</v>
      </c>
      <c r="K8" s="32">
        <f t="shared" ref="K8:K17" si="2">D8*0.05</f>
        <v>23.5</v>
      </c>
    </row>
    <row r="9" spans="1:12">
      <c r="B9" s="26" t="s">
        <v>18</v>
      </c>
      <c r="C9" s="27" t="s">
        <v>19</v>
      </c>
      <c r="D9" s="28">
        <v>500</v>
      </c>
      <c r="E9" s="29">
        <v>44378</v>
      </c>
      <c r="F9" s="30">
        <v>7</v>
      </c>
      <c r="G9" s="30" t="s">
        <v>16</v>
      </c>
      <c r="H9" s="31">
        <f t="shared" si="0"/>
        <v>71.428571428571431</v>
      </c>
      <c r="I9" s="31">
        <f>H9*1</f>
        <v>71.428571428571431</v>
      </c>
      <c r="J9" s="31">
        <f t="shared" si="1"/>
        <v>428.57142857142856</v>
      </c>
      <c r="K9" s="32">
        <f t="shared" si="2"/>
        <v>25</v>
      </c>
    </row>
    <row r="10" spans="1:12">
      <c r="B10" s="26" t="s">
        <v>20</v>
      </c>
      <c r="C10" s="27" t="s">
        <v>19</v>
      </c>
      <c r="D10" s="28">
        <v>500</v>
      </c>
      <c r="E10" s="29">
        <v>44378</v>
      </c>
      <c r="F10" s="30">
        <v>7</v>
      </c>
      <c r="G10" s="30" t="s">
        <v>16</v>
      </c>
      <c r="H10" s="31">
        <f t="shared" si="0"/>
        <v>71.428571428571431</v>
      </c>
      <c r="I10" s="31">
        <f t="shared" ref="I10:I17" si="3">H10*1</f>
        <v>71.428571428571431</v>
      </c>
      <c r="J10" s="31">
        <f t="shared" si="1"/>
        <v>428.57142857142856</v>
      </c>
      <c r="K10" s="32">
        <f t="shared" si="2"/>
        <v>25</v>
      </c>
    </row>
    <row r="11" spans="1:12">
      <c r="B11" s="26" t="s">
        <v>21</v>
      </c>
      <c r="C11" s="27" t="s">
        <v>19</v>
      </c>
      <c r="D11" s="28">
        <v>500</v>
      </c>
      <c r="E11" s="29">
        <v>44378</v>
      </c>
      <c r="F11" s="30">
        <v>7</v>
      </c>
      <c r="G11" s="30" t="s">
        <v>16</v>
      </c>
      <c r="H11" s="31">
        <f t="shared" si="0"/>
        <v>71.428571428571431</v>
      </c>
      <c r="I11" s="31">
        <f t="shared" si="3"/>
        <v>71.428571428571431</v>
      </c>
      <c r="J11" s="31">
        <f t="shared" si="1"/>
        <v>428.57142857142856</v>
      </c>
      <c r="K11" s="32">
        <f t="shared" si="2"/>
        <v>25</v>
      </c>
    </row>
    <row r="12" spans="1:12">
      <c r="B12" s="26" t="s">
        <v>22</v>
      </c>
      <c r="C12" s="27" t="s">
        <v>19</v>
      </c>
      <c r="D12" s="28">
        <v>500</v>
      </c>
      <c r="E12" s="29">
        <v>44378</v>
      </c>
      <c r="F12" s="30">
        <v>7</v>
      </c>
      <c r="G12" s="30" t="s">
        <v>16</v>
      </c>
      <c r="H12" s="31">
        <f t="shared" si="0"/>
        <v>71.428571428571431</v>
      </c>
      <c r="I12" s="31">
        <f t="shared" si="3"/>
        <v>71.428571428571431</v>
      </c>
      <c r="J12" s="31">
        <f t="shared" si="1"/>
        <v>428.57142857142856</v>
      </c>
      <c r="K12" s="32">
        <f t="shared" si="2"/>
        <v>25</v>
      </c>
    </row>
    <row r="13" spans="1:12">
      <c r="B13" s="26" t="s">
        <v>23</v>
      </c>
      <c r="C13" s="27" t="s">
        <v>19</v>
      </c>
      <c r="D13" s="28">
        <v>500</v>
      </c>
      <c r="E13" s="29">
        <v>44378</v>
      </c>
      <c r="F13" s="30">
        <v>7</v>
      </c>
      <c r="G13" s="30" t="s">
        <v>16</v>
      </c>
      <c r="H13" s="31">
        <f t="shared" si="0"/>
        <v>71.428571428571431</v>
      </c>
      <c r="I13" s="31">
        <f t="shared" si="3"/>
        <v>71.428571428571431</v>
      </c>
      <c r="J13" s="31">
        <f t="shared" si="1"/>
        <v>428.57142857142856</v>
      </c>
      <c r="K13" s="32">
        <f t="shared" si="2"/>
        <v>25</v>
      </c>
    </row>
    <row r="14" spans="1:12">
      <c r="B14" s="26" t="s">
        <v>24</v>
      </c>
      <c r="C14" s="27" t="s">
        <v>25</v>
      </c>
      <c r="D14" s="28">
        <v>1500</v>
      </c>
      <c r="E14" s="29">
        <v>44378</v>
      </c>
      <c r="F14" s="30">
        <v>10</v>
      </c>
      <c r="G14" s="30" t="s">
        <v>16</v>
      </c>
      <c r="H14" s="31">
        <f t="shared" si="0"/>
        <v>150</v>
      </c>
      <c r="I14" s="31">
        <f t="shared" si="3"/>
        <v>150</v>
      </c>
      <c r="J14" s="31">
        <f t="shared" si="1"/>
        <v>1350</v>
      </c>
      <c r="K14" s="32">
        <f t="shared" si="2"/>
        <v>75</v>
      </c>
    </row>
    <row r="15" spans="1:12">
      <c r="B15" s="26" t="s">
        <v>26</v>
      </c>
      <c r="C15" s="27" t="s">
        <v>27</v>
      </c>
      <c r="D15" s="28">
        <v>6000</v>
      </c>
      <c r="E15" s="29">
        <v>44378</v>
      </c>
      <c r="F15" s="30">
        <v>10</v>
      </c>
      <c r="G15" s="30" t="s">
        <v>16</v>
      </c>
      <c r="H15" s="31">
        <f t="shared" si="0"/>
        <v>600</v>
      </c>
      <c r="I15" s="31">
        <f t="shared" si="3"/>
        <v>600</v>
      </c>
      <c r="J15" s="31">
        <f t="shared" si="1"/>
        <v>5400</v>
      </c>
      <c r="K15" s="32">
        <f t="shared" si="2"/>
        <v>300</v>
      </c>
    </row>
    <row r="16" spans="1:12">
      <c r="B16" s="26" t="s">
        <v>28</v>
      </c>
      <c r="C16" s="27" t="s">
        <v>29</v>
      </c>
      <c r="D16" s="28">
        <v>10000</v>
      </c>
      <c r="E16" s="29">
        <v>44378</v>
      </c>
      <c r="F16" s="30">
        <v>10</v>
      </c>
      <c r="G16" s="30" t="s">
        <v>16</v>
      </c>
      <c r="H16" s="31">
        <f t="shared" si="0"/>
        <v>1000</v>
      </c>
      <c r="I16" s="31">
        <f t="shared" si="3"/>
        <v>1000</v>
      </c>
      <c r="J16" s="31">
        <f t="shared" si="1"/>
        <v>9000</v>
      </c>
      <c r="K16" s="32">
        <f t="shared" si="2"/>
        <v>500</v>
      </c>
    </row>
    <row r="17" spans="2:11">
      <c r="B17" s="26" t="s">
        <v>30</v>
      </c>
      <c r="C17" s="27" t="s">
        <v>31</v>
      </c>
      <c r="D17" s="28">
        <v>5000</v>
      </c>
      <c r="E17" s="29">
        <v>44378</v>
      </c>
      <c r="F17" s="30">
        <v>5</v>
      </c>
      <c r="G17" s="30" t="s">
        <v>16</v>
      </c>
      <c r="H17" s="31">
        <f t="shared" si="0"/>
        <v>1000</v>
      </c>
      <c r="I17" s="31">
        <f t="shared" si="3"/>
        <v>1000</v>
      </c>
      <c r="J17" s="31">
        <f t="shared" si="1"/>
        <v>4000</v>
      </c>
      <c r="K17" s="32">
        <f t="shared" si="2"/>
        <v>250</v>
      </c>
    </row>
    <row r="18" spans="2:11">
      <c r="B18" s="33"/>
      <c r="C18" s="33"/>
      <c r="D18" s="33"/>
      <c r="E18" s="33"/>
      <c r="F18" s="34"/>
      <c r="G18" s="33"/>
      <c r="H18" s="33"/>
      <c r="I18" s="33"/>
      <c r="J18" s="33"/>
      <c r="K18" s="33"/>
    </row>
    <row r="21" spans="2:11">
      <c r="B21" s="35" t="s">
        <v>32</v>
      </c>
    </row>
    <row r="22" spans="2:11">
      <c r="B22" s="36" t="s">
        <v>33</v>
      </c>
    </row>
    <row r="23" spans="2:11">
      <c r="B23" s="36" t="s">
        <v>34</v>
      </c>
    </row>
    <row r="24" spans="2:11">
      <c r="B24" s="36" t="s">
        <v>35</v>
      </c>
    </row>
    <row r="29" spans="2:11">
      <c r="B29" s="37"/>
      <c r="C29" s="3"/>
    </row>
    <row r="30" spans="2:11">
      <c r="C30" s="38"/>
    </row>
  </sheetData>
  <mergeCells count="3">
    <mergeCell ref="B2:K2"/>
    <mergeCell ref="B3:K3"/>
    <mergeCell ref="B4:K4"/>
  </mergeCells>
  <phoneticPr fontId="3" type="noConversion"/>
  <pageMargins left="0.7" right="0.7" top="0.75" bottom="0.75" header="0.3" footer="0.3"/>
  <ignoredErrors>
    <ignoredError sqref="B7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A478-CB7D-46ED-A865-A2051B53F3B4}">
  <dimension ref="B2:I14"/>
  <sheetViews>
    <sheetView workbookViewId="0">
      <selection activeCell="C7" sqref="C7:H12"/>
    </sheetView>
  </sheetViews>
  <sheetFormatPr defaultColWidth="12.28515625" defaultRowHeight="12.95"/>
  <cols>
    <col min="1" max="1" width="12.28515625" style="42"/>
    <col min="2" max="2" width="34.42578125" style="42" customWidth="1"/>
    <col min="3" max="7" width="12.28515625" style="42"/>
    <col min="8" max="8" width="16.7109375" style="42" customWidth="1"/>
    <col min="9" max="16384" width="12.28515625" style="42"/>
  </cols>
  <sheetData>
    <row r="2" spans="2:9">
      <c r="B2" s="106" t="s">
        <v>2</v>
      </c>
      <c r="C2" s="107"/>
      <c r="D2" s="107"/>
      <c r="E2" s="107"/>
      <c r="F2" s="107"/>
      <c r="G2" s="107"/>
      <c r="H2" s="108"/>
      <c r="I2" s="41"/>
    </row>
    <row r="3" spans="2:9">
      <c r="B3" s="109" t="s">
        <v>36</v>
      </c>
      <c r="C3" s="110"/>
      <c r="D3" s="110"/>
      <c r="E3" s="110"/>
      <c r="F3" s="110"/>
      <c r="G3" s="110"/>
      <c r="H3" s="111"/>
      <c r="I3" s="41"/>
    </row>
    <row r="4" spans="2:9">
      <c r="B4" s="112" t="s">
        <v>37</v>
      </c>
      <c r="C4" s="113"/>
      <c r="D4" s="113"/>
      <c r="E4" s="113"/>
      <c r="F4" s="113"/>
      <c r="G4" s="113"/>
      <c r="H4" s="114"/>
      <c r="I4" s="41"/>
    </row>
    <row r="5" spans="2:9">
      <c r="C5" s="61"/>
      <c r="D5" s="61"/>
      <c r="E5" s="61"/>
      <c r="F5" s="61"/>
      <c r="G5" s="61"/>
      <c r="H5" s="61"/>
      <c r="I5" s="41"/>
    </row>
    <row r="6" spans="2:9" ht="14.1">
      <c r="B6" s="40"/>
      <c r="C6" s="62" t="s">
        <v>38</v>
      </c>
      <c r="D6" s="62" t="s">
        <v>39</v>
      </c>
      <c r="E6" s="62" t="s">
        <v>40</v>
      </c>
      <c r="F6" s="62" t="s">
        <v>41</v>
      </c>
      <c r="G6" s="62" t="s">
        <v>42</v>
      </c>
      <c r="H6" s="62" t="s">
        <v>43</v>
      </c>
      <c r="I6" s="41"/>
    </row>
    <row r="7" spans="2:9">
      <c r="B7" s="42" t="s">
        <v>44</v>
      </c>
      <c r="C7" s="63">
        <v>7000</v>
      </c>
      <c r="D7" s="63">
        <v>8000</v>
      </c>
      <c r="E7" s="63">
        <v>13000</v>
      </c>
      <c r="F7" s="63">
        <v>26090</v>
      </c>
      <c r="G7" s="63">
        <v>4000</v>
      </c>
      <c r="H7" s="63">
        <v>4000</v>
      </c>
    </row>
    <row r="8" spans="2:9">
      <c r="B8" s="42" t="s">
        <v>45</v>
      </c>
      <c r="C8" s="64">
        <v>2500.2399999999998</v>
      </c>
      <c r="D8" s="64">
        <v>3000.11</v>
      </c>
      <c r="E8" s="64">
        <v>1200.3699999999999</v>
      </c>
      <c r="F8" s="64">
        <v>1500.01</v>
      </c>
      <c r="G8" s="64">
        <v>3500.73</v>
      </c>
      <c r="H8" s="64">
        <v>3500.56</v>
      </c>
    </row>
    <row r="9" spans="2:9">
      <c r="B9" s="42" t="s">
        <v>46</v>
      </c>
      <c r="C9" s="64">
        <v>2901</v>
      </c>
      <c r="D9" s="64">
        <v>4621.0000000000009</v>
      </c>
      <c r="E9" s="64">
        <v>1067.9999999999982</v>
      </c>
      <c r="F9" s="64">
        <v>3100</v>
      </c>
      <c r="G9" s="64">
        <v>22</v>
      </c>
      <c r="H9" s="64">
        <v>2092.9999999999991</v>
      </c>
    </row>
    <row r="10" spans="2:9">
      <c r="C10" s="61"/>
      <c r="D10" s="61"/>
      <c r="E10" s="61"/>
      <c r="F10" s="61"/>
      <c r="G10" s="61"/>
      <c r="H10" s="61"/>
    </row>
    <row r="11" spans="2:9">
      <c r="B11" s="65" t="s">
        <v>47</v>
      </c>
      <c r="C11" s="66">
        <f t="shared" ref="C11:H11" si="0">C7+C8-C9</f>
        <v>6599.24</v>
      </c>
      <c r="D11" s="66">
        <f t="shared" si="0"/>
        <v>6379.11</v>
      </c>
      <c r="E11" s="66">
        <f t="shared" si="0"/>
        <v>13132.37</v>
      </c>
      <c r="F11" s="66">
        <f t="shared" si="0"/>
        <v>24490.01</v>
      </c>
      <c r="G11" s="66">
        <f t="shared" si="0"/>
        <v>7478.73</v>
      </c>
      <c r="H11" s="66">
        <f t="shared" si="0"/>
        <v>5407.56</v>
      </c>
    </row>
    <row r="14" spans="2:9">
      <c r="F14" s="58"/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E51E-5853-4846-A878-4DD5F3EC28C2}">
  <dimension ref="A2:G38"/>
  <sheetViews>
    <sheetView workbookViewId="0">
      <selection activeCell="C7" sqref="C7:F33"/>
    </sheetView>
  </sheetViews>
  <sheetFormatPr defaultColWidth="8.85546875" defaultRowHeight="12.95"/>
  <cols>
    <col min="1" max="1" width="8.85546875" style="42"/>
    <col min="2" max="2" width="35.28515625" style="42" customWidth="1"/>
    <col min="3" max="3" width="16.7109375" style="42" customWidth="1"/>
    <col min="4" max="4" width="21.7109375" style="42" customWidth="1"/>
    <col min="5" max="5" width="18.42578125" style="59" customWidth="1"/>
    <col min="6" max="6" width="28.140625" style="42" customWidth="1"/>
    <col min="7" max="16384" width="8.85546875" style="42"/>
  </cols>
  <sheetData>
    <row r="2" spans="1:7">
      <c r="A2" s="40"/>
      <c r="B2" s="106" t="s">
        <v>2</v>
      </c>
      <c r="C2" s="107"/>
      <c r="D2" s="107"/>
      <c r="E2" s="107"/>
      <c r="F2" s="108"/>
      <c r="G2" s="41"/>
    </row>
    <row r="3" spans="1:7">
      <c r="A3" s="40"/>
      <c r="B3" s="109" t="s">
        <v>48</v>
      </c>
      <c r="C3" s="110"/>
      <c r="D3" s="110"/>
      <c r="E3" s="110"/>
      <c r="F3" s="111"/>
      <c r="G3" s="41"/>
    </row>
    <row r="4" spans="1:7">
      <c r="A4" s="40"/>
      <c r="B4" s="112" t="s">
        <v>37</v>
      </c>
      <c r="C4" s="113"/>
      <c r="D4" s="113"/>
      <c r="E4" s="113"/>
      <c r="F4" s="114"/>
      <c r="G4" s="41"/>
    </row>
    <row r="5" spans="1:7">
      <c r="B5" s="43"/>
      <c r="C5" s="43"/>
      <c r="D5" s="43"/>
      <c r="E5" s="44"/>
      <c r="F5" s="43"/>
    </row>
    <row r="6" spans="1:7">
      <c r="B6" s="40"/>
      <c r="C6" s="45" t="s">
        <v>49</v>
      </c>
      <c r="D6" s="45" t="s">
        <v>50</v>
      </c>
      <c r="E6" s="45" t="s">
        <v>51</v>
      </c>
      <c r="F6" s="45" t="s">
        <v>52</v>
      </c>
      <c r="G6" s="41"/>
    </row>
    <row r="7" spans="1:7">
      <c r="B7" s="46" t="s">
        <v>53</v>
      </c>
      <c r="C7" s="47"/>
      <c r="D7" s="47">
        <v>16363.64</v>
      </c>
      <c r="E7" s="48" t="s">
        <v>54</v>
      </c>
      <c r="F7" s="49" t="s">
        <v>55</v>
      </c>
    </row>
    <row r="8" spans="1:7">
      <c r="B8" s="50" t="s">
        <v>56</v>
      </c>
      <c r="C8" s="47"/>
      <c r="D8" s="47">
        <v>15818.19</v>
      </c>
      <c r="E8" s="51" t="s">
        <v>54</v>
      </c>
      <c r="F8" s="52" t="s">
        <v>55</v>
      </c>
    </row>
    <row r="9" spans="1:7">
      <c r="B9" s="50" t="s">
        <v>57</v>
      </c>
      <c r="C9" s="47"/>
      <c r="D9" s="47">
        <v>32563.63</v>
      </c>
      <c r="E9" s="51" t="s">
        <v>54</v>
      </c>
      <c r="F9" s="52" t="s">
        <v>55</v>
      </c>
    </row>
    <row r="10" spans="1:7">
      <c r="B10" s="50" t="s">
        <v>58</v>
      </c>
      <c r="C10" s="47"/>
      <c r="D10" s="47">
        <v>60727.28</v>
      </c>
      <c r="E10" s="51" t="s">
        <v>54</v>
      </c>
      <c r="F10" s="52" t="s">
        <v>55</v>
      </c>
    </row>
    <row r="11" spans="1:7">
      <c r="B11" s="50" t="s">
        <v>59</v>
      </c>
      <c r="C11" s="47"/>
      <c r="D11" s="47">
        <v>18545.439999999999</v>
      </c>
      <c r="E11" s="51" t="s">
        <v>54</v>
      </c>
      <c r="F11" s="52" t="s">
        <v>55</v>
      </c>
    </row>
    <row r="12" spans="1:7">
      <c r="B12" s="50" t="s">
        <v>60</v>
      </c>
      <c r="C12" s="47"/>
      <c r="D12" s="47">
        <v>13409.11</v>
      </c>
      <c r="E12" s="51" t="s">
        <v>54</v>
      </c>
      <c r="F12" s="52" t="s">
        <v>55</v>
      </c>
    </row>
    <row r="13" spans="1:7">
      <c r="B13" s="50" t="s">
        <v>61</v>
      </c>
      <c r="C13" s="47">
        <f>80500+40000</f>
        <v>120500</v>
      </c>
      <c r="D13" s="47"/>
      <c r="E13" s="51" t="s">
        <v>62</v>
      </c>
      <c r="F13" s="52" t="s">
        <v>63</v>
      </c>
    </row>
    <row r="14" spans="1:7">
      <c r="B14" s="50" t="s">
        <v>64</v>
      </c>
      <c r="C14" s="47">
        <v>300</v>
      </c>
      <c r="D14" s="47"/>
      <c r="E14" s="51" t="s">
        <v>62</v>
      </c>
      <c r="F14" s="52" t="s">
        <v>63</v>
      </c>
    </row>
    <row r="15" spans="1:7">
      <c r="B15" s="50" t="s">
        <v>65</v>
      </c>
      <c r="C15" s="47">
        <f>SUM('Asset Register'!D7:D17)</f>
        <v>25940</v>
      </c>
      <c r="D15" s="47"/>
      <c r="E15" s="51" t="s">
        <v>62</v>
      </c>
      <c r="F15" s="52" t="s">
        <v>63</v>
      </c>
    </row>
    <row r="16" spans="1:7">
      <c r="B16" s="50" t="s">
        <v>66</v>
      </c>
      <c r="C16" s="47"/>
      <c r="D16" s="47">
        <v>3483.1428571428601</v>
      </c>
      <c r="E16" s="51" t="s">
        <v>62</v>
      </c>
      <c r="F16" s="52" t="s">
        <v>63</v>
      </c>
    </row>
    <row r="17" spans="2:6">
      <c r="B17" s="50" t="s">
        <v>47</v>
      </c>
      <c r="C17" s="47">
        <f>SUM('COGS Summary'!C11:H11)</f>
        <v>63487.01999999999</v>
      </c>
      <c r="D17" s="47"/>
      <c r="E17" s="51" t="s">
        <v>67</v>
      </c>
      <c r="F17" s="52" t="s">
        <v>55</v>
      </c>
    </row>
    <row r="18" spans="2:6">
      <c r="B18" s="50" t="s">
        <v>68</v>
      </c>
      <c r="C18" s="47">
        <f>'Profit and Loss'!D30</f>
        <v>3300</v>
      </c>
      <c r="D18" s="47"/>
      <c r="E18" s="51" t="s">
        <v>69</v>
      </c>
      <c r="F18" s="52" t="s">
        <v>55</v>
      </c>
    </row>
    <row r="19" spans="2:6">
      <c r="B19" s="50" t="s">
        <v>70</v>
      </c>
      <c r="C19" s="47">
        <f>'Profit and Loss'!D32</f>
        <v>4220.71</v>
      </c>
      <c r="D19" s="47"/>
      <c r="E19" s="51" t="s">
        <v>69</v>
      </c>
      <c r="F19" s="52" t="s">
        <v>55</v>
      </c>
    </row>
    <row r="20" spans="2:6">
      <c r="B20" s="50" t="s">
        <v>71</v>
      </c>
      <c r="C20" s="47"/>
      <c r="D20" s="47">
        <v>0.31</v>
      </c>
      <c r="E20" s="51" t="s">
        <v>72</v>
      </c>
      <c r="F20" s="52" t="s">
        <v>55</v>
      </c>
    </row>
    <row r="21" spans="2:6">
      <c r="B21" s="50" t="s">
        <v>73</v>
      </c>
      <c r="C21" s="47"/>
      <c r="D21" s="47">
        <v>161.80000000000001</v>
      </c>
      <c r="E21" s="51" t="s">
        <v>72</v>
      </c>
      <c r="F21" s="52" t="s">
        <v>55</v>
      </c>
    </row>
    <row r="22" spans="2:6">
      <c r="B22" s="50" t="s">
        <v>74</v>
      </c>
      <c r="C22" s="47">
        <f>'Profit and Loss'!D43</f>
        <v>70</v>
      </c>
      <c r="D22" s="47"/>
      <c r="E22" s="51" t="s">
        <v>75</v>
      </c>
      <c r="F22" s="52" t="s">
        <v>55</v>
      </c>
    </row>
    <row r="23" spans="2:6">
      <c r="B23" s="50" t="s">
        <v>76</v>
      </c>
      <c r="C23" s="47"/>
      <c r="D23" s="47">
        <v>14059.76</v>
      </c>
      <c r="E23" s="51" t="s">
        <v>77</v>
      </c>
      <c r="F23" s="52" t="s">
        <v>63</v>
      </c>
    </row>
    <row r="24" spans="2:6">
      <c r="B24" s="50" t="s">
        <v>78</v>
      </c>
      <c r="C24" s="47">
        <v>3284.08</v>
      </c>
      <c r="D24" s="47"/>
      <c r="E24" s="51" t="s">
        <v>77</v>
      </c>
      <c r="F24" s="52" t="s">
        <v>63</v>
      </c>
    </row>
    <row r="25" spans="2:6">
      <c r="B25" s="50" t="s">
        <v>79</v>
      </c>
      <c r="C25" s="47"/>
      <c r="D25" s="47">
        <f>343500-130209.49-156000-15131.78+40000</f>
        <v>82158.73000000001</v>
      </c>
      <c r="E25" s="51" t="s">
        <v>80</v>
      </c>
      <c r="F25" s="52" t="s">
        <v>63</v>
      </c>
    </row>
    <row r="26" spans="2:6">
      <c r="B26" s="50" t="s">
        <v>81</v>
      </c>
      <c r="C26" s="47"/>
      <c r="D26" s="47">
        <v>500</v>
      </c>
      <c r="E26" s="51" t="s">
        <v>82</v>
      </c>
      <c r="F26" s="52" t="s">
        <v>63</v>
      </c>
    </row>
    <row r="27" spans="2:6">
      <c r="B27" s="50" t="s">
        <v>83</v>
      </c>
      <c r="C27" s="47"/>
      <c r="D27" s="47">
        <v>5000</v>
      </c>
      <c r="E27" s="51" t="s">
        <v>82</v>
      </c>
      <c r="F27" s="52" t="s">
        <v>63</v>
      </c>
    </row>
    <row r="28" spans="2:6">
      <c r="B28" s="50" t="s">
        <v>84</v>
      </c>
      <c r="C28" s="47">
        <f>5000+6989.22</f>
        <v>11989.220000000001</v>
      </c>
      <c r="D28" s="47"/>
      <c r="E28" s="51" t="s">
        <v>69</v>
      </c>
      <c r="F28" s="52" t="s">
        <v>55</v>
      </c>
    </row>
    <row r="29" spans="2:6">
      <c r="B29" s="50" t="s">
        <v>85</v>
      </c>
      <c r="C29" s="47">
        <v>500</v>
      </c>
      <c r="D29" s="47"/>
      <c r="E29" s="51" t="s">
        <v>69</v>
      </c>
      <c r="F29" s="52" t="s">
        <v>55</v>
      </c>
    </row>
    <row r="30" spans="2:6">
      <c r="B30" s="50" t="s">
        <v>86</v>
      </c>
      <c r="C30" s="47">
        <v>16200</v>
      </c>
      <c r="D30" s="47"/>
      <c r="E30" s="51" t="s">
        <v>69</v>
      </c>
      <c r="F30" s="52" t="s">
        <v>55</v>
      </c>
    </row>
    <row r="31" spans="2:6">
      <c r="B31" s="50" t="s">
        <v>87</v>
      </c>
      <c r="C31" s="47">
        <v>13000</v>
      </c>
      <c r="D31" s="47"/>
      <c r="E31" s="51" t="s">
        <v>69</v>
      </c>
      <c r="F31" s="52" t="s">
        <v>55</v>
      </c>
    </row>
    <row r="32" spans="2:6">
      <c r="B32" s="53"/>
      <c r="C32" s="54"/>
      <c r="D32" s="53"/>
      <c r="E32" s="55"/>
      <c r="F32" s="53"/>
    </row>
    <row r="33" spans="2:5">
      <c r="C33" s="56">
        <f>SUM(C7:C31)</f>
        <v>262791.02999999997</v>
      </c>
      <c r="D33" s="56">
        <f>SUM(D7:D32)</f>
        <v>262791.03285714285</v>
      </c>
      <c r="E33" s="57"/>
    </row>
    <row r="34" spans="2:5">
      <c r="C34" s="58"/>
      <c r="D34" s="58"/>
    </row>
    <row r="35" spans="2:5">
      <c r="B35" s="60" t="s">
        <v>32</v>
      </c>
      <c r="D35" s="58"/>
    </row>
    <row r="36" spans="2:5">
      <c r="B36" s="36" t="s">
        <v>88</v>
      </c>
    </row>
    <row r="37" spans="2:5">
      <c r="B37" s="36" t="s">
        <v>89</v>
      </c>
    </row>
    <row r="38" spans="2:5">
      <c r="B38" s="36"/>
    </row>
  </sheetData>
  <mergeCells count="3"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7627-B72C-4522-B73D-D5298AB605B0}">
  <dimension ref="A1:F55"/>
  <sheetViews>
    <sheetView workbookViewId="0">
      <selection activeCell="G9" sqref="G9"/>
    </sheetView>
  </sheetViews>
  <sheetFormatPr defaultColWidth="8.85546875" defaultRowHeight="12.95"/>
  <cols>
    <col min="1" max="1" width="8.85546875" style="42"/>
    <col min="2" max="2" width="3.85546875" style="42" customWidth="1"/>
    <col min="3" max="3" width="36.140625" style="42" customWidth="1"/>
    <col min="4" max="4" width="12.28515625" style="42" bestFit="1" customWidth="1"/>
    <col min="5" max="5" width="12.42578125" style="42" customWidth="1"/>
    <col min="6" max="6" width="12.28515625" style="42" bestFit="1" customWidth="1"/>
    <col min="7" max="16384" width="8.85546875" style="42"/>
  </cols>
  <sheetData>
    <row r="1" spans="1:6">
      <c r="B1" s="61"/>
      <c r="C1" s="61"/>
      <c r="D1" s="61"/>
      <c r="E1" s="61"/>
    </row>
    <row r="2" spans="1:6" ht="15.6" customHeight="1">
      <c r="A2" s="40"/>
      <c r="B2" s="106" t="s">
        <v>2</v>
      </c>
      <c r="C2" s="107"/>
      <c r="D2" s="107"/>
      <c r="E2" s="108"/>
      <c r="F2" s="41"/>
    </row>
    <row r="3" spans="1:6" ht="15.6" customHeight="1">
      <c r="A3" s="40"/>
      <c r="B3" s="109" t="s">
        <v>90</v>
      </c>
      <c r="C3" s="110"/>
      <c r="D3" s="110"/>
      <c r="E3" s="111"/>
      <c r="F3" s="41"/>
    </row>
    <row r="4" spans="1:6" ht="15.6" customHeight="1">
      <c r="A4" s="40"/>
      <c r="B4" s="112" t="s">
        <v>91</v>
      </c>
      <c r="C4" s="113"/>
      <c r="D4" s="113"/>
      <c r="E4" s="114"/>
      <c r="F4" s="41"/>
    </row>
    <row r="5" spans="1:6">
      <c r="B5" s="43"/>
      <c r="C5" s="43"/>
      <c r="D5" s="43"/>
      <c r="E5" s="43"/>
    </row>
    <row r="6" spans="1:6">
      <c r="B6" s="42" t="s">
        <v>54</v>
      </c>
    </row>
    <row r="7" spans="1:6">
      <c r="C7" s="42" t="s">
        <v>53</v>
      </c>
      <c r="D7" s="67">
        <v>16363.64</v>
      </c>
    </row>
    <row r="8" spans="1:6">
      <c r="C8" s="42" t="s">
        <v>56</v>
      </c>
      <c r="D8" s="67">
        <v>15818.19</v>
      </c>
    </row>
    <row r="9" spans="1:6">
      <c r="C9" s="42" t="s">
        <v>57</v>
      </c>
      <c r="D9" s="67">
        <v>32563.63</v>
      </c>
    </row>
    <row r="10" spans="1:6">
      <c r="C10" s="42" t="s">
        <v>58</v>
      </c>
      <c r="D10" s="67">
        <v>60727.28</v>
      </c>
    </row>
    <row r="11" spans="1:6">
      <c r="C11" s="42" t="s">
        <v>59</v>
      </c>
      <c r="D11" s="67">
        <v>18545.439999999999</v>
      </c>
      <c r="E11" s="61"/>
    </row>
    <row r="12" spans="1:6">
      <c r="C12" s="42" t="s">
        <v>60</v>
      </c>
      <c r="D12" s="67">
        <v>13409.11</v>
      </c>
      <c r="E12" s="61"/>
    </row>
    <row r="13" spans="1:6">
      <c r="D13" s="68"/>
      <c r="E13" s="61"/>
    </row>
    <row r="14" spans="1:6">
      <c r="B14" s="42" t="s">
        <v>92</v>
      </c>
      <c r="E14" s="69">
        <f>SUM(D7:D12)</f>
        <v>157427.28999999998</v>
      </c>
      <c r="F14" s="58"/>
    </row>
    <row r="15" spans="1:6">
      <c r="E15" s="43"/>
    </row>
    <row r="16" spans="1:6">
      <c r="B16" s="42" t="s">
        <v>67</v>
      </c>
    </row>
    <row r="17" spans="2:5">
      <c r="C17" s="42" t="s">
        <v>93</v>
      </c>
      <c r="D17" s="67">
        <v>6599.24</v>
      </c>
    </row>
    <row r="18" spans="2:5">
      <c r="C18" s="42" t="s">
        <v>94</v>
      </c>
      <c r="D18" s="67">
        <v>6379.11</v>
      </c>
    </row>
    <row r="19" spans="2:5">
      <c r="C19" s="42" t="s">
        <v>95</v>
      </c>
      <c r="D19" s="67">
        <v>13132.37</v>
      </c>
    </row>
    <row r="20" spans="2:5">
      <c r="C20" s="42" t="s">
        <v>96</v>
      </c>
      <c r="D20" s="67">
        <v>24490.01</v>
      </c>
    </row>
    <row r="21" spans="2:5">
      <c r="C21" s="42" t="s">
        <v>97</v>
      </c>
      <c r="D21" s="67">
        <v>7478.73</v>
      </c>
    </row>
    <row r="22" spans="2:5">
      <c r="C22" s="42" t="s">
        <v>98</v>
      </c>
      <c r="D22" s="67">
        <v>5407.56</v>
      </c>
      <c r="E22" s="61"/>
    </row>
    <row r="23" spans="2:5">
      <c r="B23" s="42" t="s">
        <v>99</v>
      </c>
      <c r="E23" s="69">
        <f>SUM(D17:D22)</f>
        <v>63487.01999999999</v>
      </c>
    </row>
    <row r="25" spans="2:5">
      <c r="B25" s="42" t="s">
        <v>100</v>
      </c>
      <c r="E25" s="69">
        <f>E14-E23</f>
        <v>93940.26999999999</v>
      </c>
    </row>
    <row r="26" spans="2:5">
      <c r="E26" s="43"/>
    </row>
    <row r="27" spans="2:5">
      <c r="B27" s="42" t="s">
        <v>101</v>
      </c>
      <c r="D27" s="67"/>
    </row>
    <row r="28" spans="2:5">
      <c r="C28" s="42" t="s">
        <v>86</v>
      </c>
      <c r="D28" s="67">
        <v>16200</v>
      </c>
    </row>
    <row r="29" spans="2:5">
      <c r="C29" s="42" t="s">
        <v>87</v>
      </c>
      <c r="D29" s="67">
        <v>13000</v>
      </c>
    </row>
    <row r="30" spans="2:5">
      <c r="C30" s="42" t="s">
        <v>68</v>
      </c>
      <c r="D30" s="67">
        <v>3300</v>
      </c>
    </row>
    <row r="31" spans="2:5">
      <c r="C31" s="42" t="s">
        <v>102</v>
      </c>
      <c r="D31" s="67">
        <f>'Trial Balance'!C29</f>
        <v>500</v>
      </c>
    </row>
    <row r="32" spans="2:5">
      <c r="C32" s="42" t="s">
        <v>70</v>
      </c>
      <c r="D32" s="67">
        <v>4220.71</v>
      </c>
    </row>
    <row r="33" spans="2:5">
      <c r="B33" s="42" t="s">
        <v>103</v>
      </c>
      <c r="E33" s="69">
        <f>SUM(D28:D32)</f>
        <v>37220.71</v>
      </c>
    </row>
    <row r="35" spans="2:5">
      <c r="B35" s="42" t="s">
        <v>104</v>
      </c>
      <c r="E35" s="69">
        <f>E25-E33</f>
        <v>56719.55999999999</v>
      </c>
    </row>
    <row r="36" spans="2:5">
      <c r="E36" s="43"/>
    </row>
    <row r="37" spans="2:5">
      <c r="B37" s="42" t="s">
        <v>72</v>
      </c>
    </row>
    <row r="38" spans="2:5">
      <c r="C38" s="42" t="s">
        <v>71</v>
      </c>
      <c r="D38" s="67">
        <v>0.31</v>
      </c>
    </row>
    <row r="39" spans="2:5">
      <c r="C39" s="42" t="s">
        <v>73</v>
      </c>
      <c r="D39" s="67">
        <v>161.80000000000001</v>
      </c>
    </row>
    <row r="40" spans="2:5">
      <c r="B40" s="42" t="s">
        <v>105</v>
      </c>
      <c r="E40" s="69">
        <f>SUM(D38:D39)</f>
        <v>162.11000000000001</v>
      </c>
    </row>
    <row r="42" spans="2:5">
      <c r="B42" s="42" t="s">
        <v>75</v>
      </c>
    </row>
    <row r="43" spans="2:5">
      <c r="C43" s="42" t="s">
        <v>74</v>
      </c>
      <c r="D43" s="67">
        <v>70</v>
      </c>
    </row>
    <row r="44" spans="2:5">
      <c r="B44" s="42" t="s">
        <v>106</v>
      </c>
      <c r="E44" s="69">
        <f>D43</f>
        <v>70</v>
      </c>
    </row>
    <row r="46" spans="2:5">
      <c r="B46" s="65" t="s">
        <v>107</v>
      </c>
      <c r="E46" s="70">
        <f>E35-E40-E44</f>
        <v>56487.44999999999</v>
      </c>
    </row>
    <row r="47" spans="2:5">
      <c r="E47" s="43"/>
    </row>
    <row r="49" spans="2:6">
      <c r="B49" s="65" t="s">
        <v>108</v>
      </c>
      <c r="E49" s="64">
        <f>'Trial Balance'!D23</f>
        <v>14059.76</v>
      </c>
    </row>
    <row r="50" spans="2:6">
      <c r="B50" s="65" t="s">
        <v>109</v>
      </c>
      <c r="E50" s="64">
        <f>'Trial Balance'!C24</f>
        <v>3284.08</v>
      </c>
    </row>
    <row r="51" spans="2:6">
      <c r="B51" s="65"/>
    </row>
    <row r="52" spans="2:6">
      <c r="B52" s="65" t="s">
        <v>110</v>
      </c>
      <c r="E52" s="64">
        <f>E46-E49+E50</f>
        <v>45711.76999999999</v>
      </c>
    </row>
    <row r="53" spans="2:6">
      <c r="B53" s="65" t="s">
        <v>84</v>
      </c>
      <c r="C53" s="65"/>
      <c r="E53" s="71">
        <f>'Trial Balance'!C28</f>
        <v>11989.220000000001</v>
      </c>
      <c r="F53" s="58"/>
    </row>
    <row r="54" spans="2:6" ht="14.1" thickBot="1">
      <c r="B54" s="65" t="s">
        <v>111</v>
      </c>
      <c r="C54" s="65"/>
      <c r="E54" s="72">
        <f>E52-E53</f>
        <v>33722.549999999988</v>
      </c>
    </row>
    <row r="55" spans="2:6" ht="14.1" thickTop="1">
      <c r="E55" s="43"/>
    </row>
  </sheetData>
  <mergeCells count="3">
    <mergeCell ref="B2:E2"/>
    <mergeCell ref="B3:E3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8C29-0CA5-443A-8094-684447A37B03}">
  <dimension ref="A1:I43"/>
  <sheetViews>
    <sheetView workbookViewId="0">
      <selection activeCell="L14" sqref="L14"/>
    </sheetView>
  </sheetViews>
  <sheetFormatPr defaultColWidth="8.85546875" defaultRowHeight="12.95"/>
  <cols>
    <col min="1" max="5" width="8.85546875" style="42"/>
    <col min="6" max="6" width="13" style="42" customWidth="1"/>
    <col min="7" max="8" width="13.42578125" style="42" bestFit="1" customWidth="1"/>
    <col min="9" max="16384" width="8.85546875" style="42"/>
  </cols>
  <sheetData>
    <row r="1" spans="1:9">
      <c r="B1" s="61"/>
      <c r="C1" s="61"/>
      <c r="D1" s="61"/>
      <c r="E1" s="61"/>
      <c r="F1" s="61"/>
      <c r="G1" s="61"/>
      <c r="H1" s="61"/>
    </row>
    <row r="2" spans="1:9">
      <c r="A2" s="40"/>
      <c r="B2" s="106" t="s">
        <v>2</v>
      </c>
      <c r="C2" s="107"/>
      <c r="D2" s="107"/>
      <c r="E2" s="107"/>
      <c r="F2" s="107"/>
      <c r="G2" s="107"/>
      <c r="H2" s="108"/>
      <c r="I2" s="41"/>
    </row>
    <row r="3" spans="1:9">
      <c r="A3" s="40"/>
      <c r="B3" s="109" t="s">
        <v>112</v>
      </c>
      <c r="C3" s="110"/>
      <c r="D3" s="110"/>
      <c r="E3" s="110"/>
      <c r="F3" s="110"/>
      <c r="G3" s="110"/>
      <c r="H3" s="111"/>
      <c r="I3" s="41"/>
    </row>
    <row r="4" spans="1:9">
      <c r="A4" s="40"/>
      <c r="B4" s="112" t="s">
        <v>113</v>
      </c>
      <c r="C4" s="113"/>
      <c r="D4" s="113"/>
      <c r="E4" s="113"/>
      <c r="F4" s="113"/>
      <c r="G4" s="113"/>
      <c r="H4" s="114"/>
      <c r="I4" s="41"/>
    </row>
    <row r="5" spans="1:9">
      <c r="B5" s="43"/>
      <c r="C5" s="43"/>
      <c r="D5" s="43"/>
      <c r="E5" s="43"/>
      <c r="F5" s="43"/>
      <c r="G5" s="43"/>
      <c r="H5" s="43"/>
    </row>
    <row r="6" spans="1:9">
      <c r="B6" s="118" t="s">
        <v>114</v>
      </c>
      <c r="C6" s="119"/>
      <c r="D6" s="119"/>
      <c r="E6" s="119"/>
      <c r="F6" s="119"/>
      <c r="G6" s="119"/>
      <c r="H6" s="120"/>
    </row>
    <row r="7" spans="1:9">
      <c r="B7" s="42" t="s">
        <v>115</v>
      </c>
      <c r="G7" s="67">
        <f>'Trial Balance'!C13</f>
        <v>120500</v>
      </c>
      <c r="H7" s="68"/>
    </row>
    <row r="8" spans="1:9">
      <c r="B8" s="42" t="s">
        <v>116</v>
      </c>
      <c r="G8" s="67"/>
      <c r="H8" s="68"/>
    </row>
    <row r="9" spans="1:9">
      <c r="B9" s="73" t="s">
        <v>117</v>
      </c>
      <c r="F9" s="67">
        <f>'COGS Summary'!C9</f>
        <v>2901</v>
      </c>
      <c r="H9" s="68"/>
    </row>
    <row r="10" spans="1:9">
      <c r="B10" s="73" t="s">
        <v>118</v>
      </c>
      <c r="F10" s="67">
        <f>'COGS Summary'!D9</f>
        <v>4621.0000000000009</v>
      </c>
      <c r="H10" s="68"/>
    </row>
    <row r="11" spans="1:9">
      <c r="B11" s="73" t="s">
        <v>119</v>
      </c>
      <c r="F11" s="67">
        <f>'COGS Summary'!E9</f>
        <v>1067.9999999999982</v>
      </c>
      <c r="H11" s="68"/>
    </row>
    <row r="12" spans="1:9">
      <c r="B12" s="73" t="s">
        <v>120</v>
      </c>
      <c r="F12" s="67">
        <f>'COGS Summary'!F9</f>
        <v>3100</v>
      </c>
      <c r="H12" s="68"/>
    </row>
    <row r="13" spans="1:9">
      <c r="B13" s="73" t="s">
        <v>121</v>
      </c>
      <c r="F13" s="67">
        <f>'COGS Summary'!G9</f>
        <v>22</v>
      </c>
      <c r="H13" s="68"/>
    </row>
    <row r="14" spans="1:9">
      <c r="B14" s="73" t="s">
        <v>122</v>
      </c>
      <c r="F14" s="67">
        <f>'COGS Summary'!H9</f>
        <v>2092.9999999999991</v>
      </c>
      <c r="G14" s="61"/>
      <c r="H14" s="68"/>
    </row>
    <row r="15" spans="1:9">
      <c r="B15" s="73"/>
      <c r="G15" s="74">
        <f>SUM(F9:F14)</f>
        <v>13805</v>
      </c>
      <c r="H15" s="68"/>
    </row>
    <row r="16" spans="1:9">
      <c r="B16" s="42" t="s">
        <v>123</v>
      </c>
      <c r="G16" s="67">
        <f>'Trial Balance'!C14</f>
        <v>300</v>
      </c>
      <c r="H16" s="68"/>
    </row>
    <row r="17" spans="2:8">
      <c r="B17" s="42" t="s">
        <v>65</v>
      </c>
      <c r="F17" s="67">
        <f>SUM('Asset Register'!D7:D17)</f>
        <v>25940</v>
      </c>
      <c r="H17" s="68"/>
    </row>
    <row r="18" spans="2:8">
      <c r="B18" s="42" t="s">
        <v>124</v>
      </c>
      <c r="F18" s="75">
        <f>-SUM('Asset Register'!I7:I17)</f>
        <v>-3483.1428571428573</v>
      </c>
      <c r="H18" s="68"/>
    </row>
    <row r="19" spans="2:8">
      <c r="G19" s="74">
        <f>SUM(F17:F18)</f>
        <v>22456.857142857141</v>
      </c>
    </row>
    <row r="20" spans="2:8" ht="14.1" thickBot="1">
      <c r="B20" s="42" t="s">
        <v>125</v>
      </c>
      <c r="C20" s="65"/>
      <c r="D20" s="65"/>
      <c r="E20" s="65"/>
      <c r="F20" s="65"/>
      <c r="G20" s="76"/>
      <c r="H20" s="77">
        <f>SUM(G7:G19)</f>
        <v>157061.85714285713</v>
      </c>
    </row>
    <row r="21" spans="2:8" ht="14.1" thickTop="1">
      <c r="H21" s="43"/>
    </row>
    <row r="22" spans="2:8">
      <c r="B22" s="118" t="s">
        <v>126</v>
      </c>
      <c r="C22" s="119"/>
      <c r="D22" s="119"/>
      <c r="E22" s="119"/>
      <c r="F22" s="119"/>
      <c r="G22" s="119"/>
      <c r="H22" s="120"/>
    </row>
    <row r="23" spans="2:8">
      <c r="B23" s="42" t="s">
        <v>127</v>
      </c>
    </row>
    <row r="24" spans="2:8">
      <c r="B24" s="42" t="s">
        <v>81</v>
      </c>
      <c r="F24" s="68"/>
      <c r="G24" s="75">
        <f>'Trial Balance'!D26</f>
        <v>500</v>
      </c>
      <c r="H24" s="68"/>
    </row>
    <row r="25" spans="2:8">
      <c r="B25" s="42" t="s">
        <v>128</v>
      </c>
      <c r="F25" s="68"/>
      <c r="G25" s="75">
        <f>'Trial Balance'!D27</f>
        <v>5000</v>
      </c>
      <c r="H25" s="68"/>
    </row>
    <row r="26" spans="2:8">
      <c r="B26" s="42" t="s">
        <v>129</v>
      </c>
      <c r="F26" s="68"/>
      <c r="G26" s="68"/>
      <c r="H26" s="68"/>
    </row>
    <row r="27" spans="2:8">
      <c r="C27" s="42" t="s">
        <v>76</v>
      </c>
      <c r="F27" s="67">
        <f>'Trial Balance'!D23</f>
        <v>14059.76</v>
      </c>
      <c r="G27" s="68"/>
      <c r="H27" s="68"/>
    </row>
    <row r="28" spans="2:8">
      <c r="C28" s="42" t="s">
        <v>78</v>
      </c>
      <c r="F28" s="75">
        <f>-'Trial Balance'!C24</f>
        <v>-3284.08</v>
      </c>
      <c r="G28" s="68"/>
      <c r="H28" s="68"/>
    </row>
    <row r="29" spans="2:8">
      <c r="B29" s="42" t="s">
        <v>130</v>
      </c>
      <c r="F29" s="68"/>
      <c r="G29" s="68">
        <f>SUM(F27:F28)</f>
        <v>10775.68</v>
      </c>
      <c r="H29" s="68"/>
    </row>
    <row r="30" spans="2:8">
      <c r="B30" s="42" t="s">
        <v>131</v>
      </c>
      <c r="C30" s="65"/>
      <c r="D30" s="65"/>
      <c r="E30" s="65"/>
      <c r="F30" s="78"/>
      <c r="G30" s="78"/>
      <c r="H30" s="89">
        <f>SUM(G24:G29)</f>
        <v>16275.68</v>
      </c>
    </row>
    <row r="31" spans="2:8">
      <c r="H31" s="43"/>
    </row>
    <row r="32" spans="2:8">
      <c r="B32" s="42" t="s">
        <v>80</v>
      </c>
    </row>
    <row r="33" spans="2:8">
      <c r="C33" s="42" t="s">
        <v>132</v>
      </c>
      <c r="G33" s="67">
        <f>'Trial Balance'!D25</f>
        <v>82158.73000000001</v>
      </c>
    </row>
    <row r="34" spans="2:8">
      <c r="C34" s="42" t="s">
        <v>133</v>
      </c>
      <c r="G34" s="67">
        <f>H20-H30-G33</f>
        <v>58627.447142857127</v>
      </c>
      <c r="H34" s="61"/>
    </row>
    <row r="35" spans="2:8">
      <c r="B35" s="42" t="s">
        <v>134</v>
      </c>
      <c r="C35" s="65"/>
      <c r="D35" s="65"/>
      <c r="E35" s="65"/>
      <c r="F35" s="65"/>
      <c r="G35" s="65"/>
      <c r="H35" s="70">
        <f>SUM(G33:G34)</f>
        <v>140786.17714285714</v>
      </c>
    </row>
    <row r="36" spans="2:8">
      <c r="H36" s="53"/>
    </row>
    <row r="37" spans="2:8" ht="14.1" thickBot="1">
      <c r="B37" s="42" t="s">
        <v>135</v>
      </c>
      <c r="C37" s="65"/>
      <c r="D37" s="65"/>
      <c r="E37" s="65"/>
      <c r="F37" s="65"/>
      <c r="G37" s="65"/>
      <c r="H37" s="79">
        <f>H30+H35</f>
        <v>157061.85714285713</v>
      </c>
    </row>
    <row r="38" spans="2:8" ht="14.1" thickTop="1">
      <c r="H38" s="43"/>
    </row>
    <row r="39" spans="2:8" ht="14.1" thickBot="1"/>
    <row r="40" spans="2:8" ht="15" thickBot="1">
      <c r="B40" s="115" t="s">
        <v>136</v>
      </c>
      <c r="C40" s="116"/>
      <c r="D40" s="116"/>
      <c r="E40" s="116"/>
      <c r="F40" s="116"/>
      <c r="G40" s="116"/>
      <c r="H40" s="117"/>
    </row>
    <row r="41" spans="2:8" ht="15" thickBot="1">
      <c r="B41" s="42" t="s">
        <v>137</v>
      </c>
      <c r="C41" s="90"/>
      <c r="D41" s="90"/>
      <c r="E41" s="90"/>
      <c r="F41" s="90"/>
      <c r="G41" s="90"/>
      <c r="H41" s="67">
        <v>25671.280000000021</v>
      </c>
    </row>
    <row r="42" spans="2:8" ht="15" thickBot="1">
      <c r="B42" s="42" t="s">
        <v>138</v>
      </c>
      <c r="C42" s="90"/>
      <c r="D42" s="90"/>
      <c r="E42" s="90"/>
      <c r="F42" s="90"/>
      <c r="G42" s="90"/>
      <c r="H42" s="67">
        <f>'Profit and Loss'!E46</f>
        <v>56487.44999999999</v>
      </c>
    </row>
    <row r="43" spans="2:8" ht="15" thickBot="1">
      <c r="B43" s="42" t="s">
        <v>139</v>
      </c>
      <c r="C43" s="90"/>
      <c r="D43" s="90"/>
      <c r="E43" s="90"/>
      <c r="F43" s="90"/>
      <c r="G43" s="90"/>
      <c r="H43" s="67">
        <f>G33</f>
        <v>82158.73000000001</v>
      </c>
    </row>
  </sheetData>
  <mergeCells count="6">
    <mergeCell ref="B40:H40"/>
    <mergeCell ref="B2:H2"/>
    <mergeCell ref="B3:H3"/>
    <mergeCell ref="B4:H4"/>
    <mergeCell ref="B6:H6"/>
    <mergeCell ref="B22:H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5DAB-C1F2-41E9-91D9-D9126E6B665E}">
  <dimension ref="A2:M19"/>
  <sheetViews>
    <sheetView workbookViewId="0">
      <selection activeCell="C19" sqref="C19"/>
    </sheetView>
  </sheetViews>
  <sheetFormatPr defaultColWidth="8.85546875" defaultRowHeight="14.1"/>
  <cols>
    <col min="1" max="1" width="8.85546875" style="13"/>
    <col min="2" max="2" width="17.7109375" style="13" customWidth="1"/>
    <col min="3" max="3" width="12.28515625" style="13" bestFit="1" customWidth="1"/>
    <col min="4" max="4" width="12.7109375" style="13" customWidth="1"/>
    <col min="5" max="5" width="8.85546875" style="13"/>
    <col min="6" max="6" width="28.28515625" style="13" customWidth="1"/>
    <col min="7" max="7" width="12.42578125" style="13" customWidth="1"/>
    <col min="8" max="8" width="12.28515625" style="13" bestFit="1" customWidth="1"/>
    <col min="9" max="9" width="8.85546875" style="13"/>
    <col min="10" max="10" width="31.28515625" style="13" customWidth="1"/>
    <col min="11" max="12" width="9" style="13" bestFit="1" customWidth="1"/>
    <col min="13" max="16384" width="8.85546875" style="13"/>
  </cols>
  <sheetData>
    <row r="2" spans="1:13" ht="18">
      <c r="B2" s="80" t="s">
        <v>140</v>
      </c>
    </row>
    <row r="3" spans="1:1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>
      <c r="A4" s="15"/>
      <c r="B4" s="81"/>
      <c r="C4" s="62">
        <v>2022</v>
      </c>
      <c r="D4" s="62">
        <f>C4-1</f>
        <v>2021</v>
      </c>
      <c r="E4" s="16"/>
      <c r="F4" s="81"/>
      <c r="G4" s="62">
        <v>2022</v>
      </c>
      <c r="H4" s="62">
        <f>G4-1</f>
        <v>2021</v>
      </c>
      <c r="I4" s="16"/>
      <c r="J4" s="82"/>
      <c r="K4" s="62">
        <v>2022</v>
      </c>
      <c r="L4" s="62">
        <f>K4-1</f>
        <v>2021</v>
      </c>
      <c r="M4" s="16"/>
    </row>
    <row r="5" spans="1:13" ht="15" customHeight="1">
      <c r="A5" s="15"/>
      <c r="B5" s="83" t="s">
        <v>54</v>
      </c>
      <c r="C5" s="84">
        <f>'Profit and Loss'!E14</f>
        <v>157427.28999999998</v>
      </c>
      <c r="D5" s="85">
        <v>166612.5</v>
      </c>
      <c r="E5" s="86"/>
      <c r="F5" s="83" t="s">
        <v>141</v>
      </c>
      <c r="G5" s="84">
        <f>'Balance Sheet'!G7</f>
        <v>120500</v>
      </c>
      <c r="H5" s="85">
        <v>207356.12</v>
      </c>
      <c r="I5" s="86"/>
      <c r="J5" s="83" t="s">
        <v>142</v>
      </c>
      <c r="K5" s="87">
        <f>'Profit and Loss'!E46/'Balance Sheet'!G33</f>
        <v>0.68754044761889554</v>
      </c>
      <c r="L5" s="87">
        <f>D11/H16</f>
        <v>0.13131514507731093</v>
      </c>
      <c r="M5" s="16"/>
    </row>
    <row r="6" spans="1:13" ht="16.5" customHeight="1">
      <c r="A6" s="15"/>
      <c r="B6" s="83" t="s">
        <v>47</v>
      </c>
      <c r="C6" s="84">
        <f>'Profit and Loss'!E23</f>
        <v>63487.01999999999</v>
      </c>
      <c r="D6" s="85">
        <v>33322.5</v>
      </c>
      <c r="E6" s="86"/>
      <c r="F6" s="83" t="s">
        <v>143</v>
      </c>
      <c r="G6" s="84"/>
      <c r="H6" s="85" t="s">
        <v>144</v>
      </c>
      <c r="I6" s="86"/>
      <c r="J6" s="83" t="s">
        <v>145</v>
      </c>
      <c r="K6" s="87">
        <f>C11/C5</f>
        <v>0.35881612393886725</v>
      </c>
      <c r="L6" s="87">
        <f>D11/D5</f>
        <v>0.22838406482106685</v>
      </c>
      <c r="M6" s="16"/>
    </row>
    <row r="7" spans="1:13" ht="15" customHeight="1">
      <c r="A7" s="15"/>
      <c r="B7" s="83" t="s">
        <v>146</v>
      </c>
      <c r="C7" s="84">
        <f>C5-C6</f>
        <v>93940.26999999999</v>
      </c>
      <c r="D7" s="85">
        <v>133290</v>
      </c>
      <c r="E7" s="86"/>
      <c r="F7" s="83" t="s">
        <v>147</v>
      </c>
      <c r="G7" s="84">
        <f>SUM('Balance Sheet'!F9:F14)</f>
        <v>13805</v>
      </c>
      <c r="H7" s="85">
        <v>132450</v>
      </c>
      <c r="I7" s="16"/>
      <c r="J7" s="88" t="s">
        <v>148</v>
      </c>
      <c r="K7" s="33"/>
      <c r="L7" s="33"/>
    </row>
    <row r="8" spans="1:13" ht="15" customHeight="1">
      <c r="A8" s="15"/>
      <c r="B8" s="83" t="s">
        <v>101</v>
      </c>
      <c r="C8" s="84">
        <f>'Profit and Loss'!E33</f>
        <v>37220.71</v>
      </c>
      <c r="D8" s="85">
        <v>95238.36</v>
      </c>
      <c r="E8" s="86"/>
      <c r="F8" s="83" t="s">
        <v>64</v>
      </c>
      <c r="G8" s="84">
        <f>'Balance Sheet'!G16</f>
        <v>300</v>
      </c>
      <c r="H8" s="85">
        <v>3600</v>
      </c>
      <c r="I8" s="16"/>
    </row>
    <row r="9" spans="1:13" ht="15" customHeight="1">
      <c r="A9" s="15"/>
      <c r="B9" s="83" t="s">
        <v>72</v>
      </c>
      <c r="C9" s="84">
        <f>'Profit and Loss'!E40</f>
        <v>162.11000000000001</v>
      </c>
      <c r="D9" s="85"/>
      <c r="E9" s="86"/>
      <c r="F9" s="83" t="s">
        <v>65</v>
      </c>
      <c r="G9" s="84">
        <f>'Balance Sheet'!F17</f>
        <v>25940</v>
      </c>
      <c r="H9" s="85">
        <v>42300</v>
      </c>
      <c r="I9" s="16"/>
    </row>
    <row r="10" spans="1:13" ht="15" customHeight="1">
      <c r="A10" s="15"/>
      <c r="B10" s="83" t="s">
        <v>75</v>
      </c>
      <c r="C10" s="84">
        <f>'Profit and Loss'!E44</f>
        <v>70</v>
      </c>
      <c r="D10" s="85"/>
      <c r="E10" s="86"/>
      <c r="F10" s="83" t="s">
        <v>124</v>
      </c>
      <c r="G10" s="84">
        <f>-'Balance Sheet'!F18</f>
        <v>3483.1428571428573</v>
      </c>
      <c r="H10" s="85">
        <v>4220.71</v>
      </c>
      <c r="I10" s="16"/>
    </row>
    <row r="11" spans="1:13" ht="15" customHeight="1">
      <c r="A11" s="15"/>
      <c r="B11" s="83" t="s">
        <v>149</v>
      </c>
      <c r="C11" s="84">
        <f>'Profit and Loss'!E46</f>
        <v>56487.44999999999</v>
      </c>
      <c r="D11" s="85">
        <v>38051.64</v>
      </c>
      <c r="E11" s="86"/>
      <c r="F11" s="83" t="s">
        <v>150</v>
      </c>
      <c r="G11" s="84"/>
      <c r="H11" s="85" t="s">
        <v>144</v>
      </c>
      <c r="I11" s="16"/>
    </row>
    <row r="12" spans="1:13" ht="15" customHeight="1">
      <c r="A12" s="15"/>
      <c r="B12" s="88" t="s">
        <v>151</v>
      </c>
      <c r="C12" s="33"/>
      <c r="D12" s="33"/>
      <c r="E12" s="15"/>
      <c r="F12" s="83" t="s">
        <v>76</v>
      </c>
      <c r="G12" s="84">
        <f>'Balance Sheet'!F27</f>
        <v>14059.76</v>
      </c>
      <c r="H12" s="85" t="s">
        <v>144</v>
      </c>
      <c r="I12" s="16"/>
    </row>
    <row r="13" spans="1:13" ht="15" customHeight="1">
      <c r="A13" s="15"/>
      <c r="E13" s="15"/>
      <c r="F13" s="83" t="s">
        <v>78</v>
      </c>
      <c r="G13" s="84">
        <f>-'Balance Sheet'!F28</f>
        <v>3284.08</v>
      </c>
      <c r="H13" s="85" t="s">
        <v>144</v>
      </c>
      <c r="I13" s="16"/>
    </row>
    <row r="14" spans="1:13" ht="15" customHeight="1">
      <c r="A14" s="15"/>
      <c r="E14" s="15"/>
      <c r="F14" s="83" t="s">
        <v>152</v>
      </c>
      <c r="G14" s="84"/>
      <c r="H14" s="85" t="s">
        <v>144</v>
      </c>
      <c r="I14" s="16"/>
    </row>
    <row r="15" spans="1:13" ht="15" customHeight="1">
      <c r="A15" s="15"/>
      <c r="E15" s="15"/>
      <c r="F15" s="83" t="s">
        <v>153</v>
      </c>
      <c r="G15" s="84"/>
      <c r="H15" s="85" t="s">
        <v>144</v>
      </c>
      <c r="I15" s="16"/>
    </row>
    <row r="16" spans="1:13" ht="15" customHeight="1">
      <c r="A16" s="15"/>
      <c r="E16" s="15"/>
      <c r="F16" s="83" t="s">
        <v>132</v>
      </c>
      <c r="G16" s="84">
        <f>'Balance Sheet'!G33</f>
        <v>82158.73000000001</v>
      </c>
      <c r="H16" s="85">
        <v>289773.43</v>
      </c>
      <c r="I16" s="16"/>
    </row>
    <row r="17" spans="1:9" ht="15" customHeight="1">
      <c r="A17" s="15"/>
      <c r="E17" s="15"/>
      <c r="F17" s="88" t="s">
        <v>154</v>
      </c>
      <c r="G17" s="33"/>
      <c r="H17" s="33"/>
      <c r="I17" s="16"/>
    </row>
    <row r="18" spans="1:9">
      <c r="A18" s="15"/>
    </row>
    <row r="19" spans="1:9">
      <c r="A19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7861-6EEB-4CDC-AFD7-77834C971FE0}">
  <dimension ref="B2:O19"/>
  <sheetViews>
    <sheetView workbookViewId="0">
      <selection activeCell="H30" sqref="H30:H31"/>
    </sheetView>
  </sheetViews>
  <sheetFormatPr defaultColWidth="8.85546875" defaultRowHeight="14.1"/>
  <cols>
    <col min="1" max="16384" width="8.85546875" style="13"/>
  </cols>
  <sheetData>
    <row r="2" spans="2:2" ht="18">
      <c r="B2" s="80" t="s">
        <v>155</v>
      </c>
    </row>
    <row r="19" spans="2:15">
      <c r="B19" s="39" t="s">
        <v>156</v>
      </c>
      <c r="H19" s="39" t="s">
        <v>157</v>
      </c>
      <c r="O19" s="39" t="s">
        <v>158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6465-349D-4167-9307-A4046A726105}">
  <dimension ref="B3:B16"/>
  <sheetViews>
    <sheetView workbookViewId="0">
      <selection activeCell="G26" sqref="G26"/>
    </sheetView>
  </sheetViews>
  <sheetFormatPr defaultColWidth="8.85546875" defaultRowHeight="14.1"/>
  <cols>
    <col min="1" max="16384" width="8.85546875" style="13"/>
  </cols>
  <sheetData>
    <row r="3" spans="2:2" ht="18">
      <c r="B3" s="80" t="s">
        <v>159</v>
      </c>
    </row>
    <row r="16" spans="2:2">
      <c r="B16" s="39" t="s">
        <v>160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3BEF9D11-0F08-459F-B51A-00B9EB7DDD8F}"/>
</file>

<file path=customXml/itemProps2.xml><?xml version="1.0" encoding="utf-8"?>
<ds:datastoreItem xmlns:ds="http://schemas.openxmlformats.org/officeDocument/2006/customXml" ds:itemID="{7745E376-DACD-4E85-8545-B77B16171182}"/>
</file>

<file path=customXml/itemProps3.xml><?xml version="1.0" encoding="utf-8"?>
<ds:datastoreItem xmlns:ds="http://schemas.openxmlformats.org/officeDocument/2006/customXml" ds:itemID="{6ECC590D-736F-4770-9D83-2F733CEC6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</dc:creator>
  <cp:keywords/>
  <dc:description/>
  <cp:lastModifiedBy>Joelle Twigden</cp:lastModifiedBy>
  <cp:revision/>
  <dcterms:created xsi:type="dcterms:W3CDTF">2022-07-13T02:01:00Z</dcterms:created>
  <dcterms:modified xsi:type="dcterms:W3CDTF">2022-11-07T02:25:10Z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2022-07-13T02:01:00Z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0608b292-0ca3-4730-b401-85f2e20e0df2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  <property fmtid="{D5CDD505-2E9C-101B-9397-08002B2CF9AE}" pid="10" name="MediaServiceImageTags">
    <vt:lpwstr/>
  </property>
</Properties>
</file>